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<sst xmlns="http://schemas.openxmlformats.org/spreadsheetml/2006/main" count="204" uniqueCount="202">
  <si>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</si>
  <si>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</si>
  <si>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</si>
  <si>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</si>
  <si>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</si>
  <si>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</si>
  <si>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</si>
  <si>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</si>
  <si>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</si>
  <si>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</si>
  <si>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</si>
  <si>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</si>
  <si>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</si>
  <si>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</si>
  <si>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</si>
  <si>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</si>
  <si>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</si>
  <si>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</si>
  <si>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</si>
  <si>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</si>
  <si>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</si>
  <si>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</si>
  <si>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</si>
  <si>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</si>
  <si>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</si>
  <si>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</si>
  <si>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</si>
  <si>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</si>
  <si>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</si>
  <si>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</si>
  <si>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</si>
  <si>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</si>
  <si>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</si>
  <si>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</si>
  <si>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</si>
  <si>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</si>
  <si>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</si>
  <si>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</si>
  <si>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</si>
  <si>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</si>
  <si>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</si>
  <si>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</si>
  <si>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</si>
  <si>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</si>
  <si>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</si>
  <si>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</si>
  <si>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</si>
  <si>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</si>
  <si>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</si>
  <si>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</si>
  <si>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</si>
  <si>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</si>
  <si>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</si>
  <si>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</si>
  <si>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</si>
  <si>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</si>
  <si>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</si>
  <si>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</si>
  <si>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</si>
  <si>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</si>
  <si>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</si>
  <si>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</si>
  <si>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</si>
  <si>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</si>
  <si>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</si>
  <si>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</si>
  <si>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</si>
  <si>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</si>
  <si>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</si>
  <si>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</si>
  <si>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</si>
  <si>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</si>
  <si>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</si>
  <si>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</si>
  <si>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</si>
  <si>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</si>
  <si>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</si>
  <si>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</si>
  <si>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</si>
  <si>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</si>
  <si>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</si>
  <si>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</si>
  <si>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</si>
  <si>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</si>
  <si>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</si>
  <si>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</si>
  <si>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</si>
  <si>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</si>
  <si>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</si>
  <si>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</si>
  <si>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</si>
  <si>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</si>
  <si>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</si>
  <si>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</si>
  <si>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</si>
  <si>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</si>
  <si>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</si>
  <si>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</si>
  <si>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</si>
  <si>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</si>
  <si>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</si>
  <si>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</si>
  <si>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</si>
  <si>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</si>
  <si>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</si>
  <si>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</si>
  <si>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</si>
  <si>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</si>
  <si>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</si>
  <si>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</si>
  <si>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</si>
  <si>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</si>
  <si>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</si>
  <si>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</si>
  <si>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</si>
  <si>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</si>
  <si>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</si>
  <si>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</si>
  <si>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</si>
  <si>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</si>
  <si>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</si>
  <si>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</si>
  <si>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</si>
  <si>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</si>
  <si>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</si>
  <si>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</si>
  <si>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</si>
  <si>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</si>
  <si>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</si>
  <si>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</si>
  <si>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</si>
  <si>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</si>
  <si>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</si>
  <si>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</si>
  <si>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</si>
  <si>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</si>
  <si>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</si>
  <si>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</si>
  <si>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</si>
  <si>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</si>
  <si>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</si>
  <si>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</si>
  <si>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</si>
  <si>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</si>
  <si>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</si>
  <si>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</si>
  <si>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</si>
  <si>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</si>
  <si>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</si>
  <si>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</si>
  <si>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</si>
  <si>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</si>
  <si>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</si>
  <si>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</si>
  <si>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</si>
  <si>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</si>
  <si>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</si>
  <si>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</si>
  <si>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</si>
  <si>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</si>
  <si>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</si>
  <si>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</si>
  <si>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</si>
  <si>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</si>
  <si>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</si>
  <si>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</si>
  <si>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</si>
  <si>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</si>
  <si>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</si>
  <si>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</si>
  <si>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</si>
  <si>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</si>
  <si>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</si>
  <si>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</si>
  <si>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</si>
  <si>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</si>
  <si>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</si>
  <si>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</si>
  <si>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</si>
  <si>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</si>
  <si>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</si>
  <si>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</si>
  <si>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</si>
  <si>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</si>
  <si>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</si>
  <si>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</si>
  <si>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</si>
  <si>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</si>
  <si>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</si>
  <si>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</si>
  <si>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</si>
  <si>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</si>
  <si>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</si>
  <si>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</si>
  <si>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</si>
  <si>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</si>
  <si>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</si>
  <si>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</si>
  <si>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</si>
  <si>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</si>
  <si>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</si>
  <si>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29.09.17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</si>
</sst>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8" fillId="20" borderId="1" applyNumberFormat="0" applyAlignment="0" applyProtection="0"/>
    <xf numFmtId="0" fontId="7" fillId="21" borderId="2" applyNumberFormat="0" applyAlignment="0" applyProtection="0"/>
    <xf numFmtId="0" fontId="11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1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1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1" xfId="87" applyFont="1" applyBorder="1">
      <alignment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8" fillId="0" borderId="11" xfId="87" applyFont="1" applyBorder="1" applyAlignment="1">
      <alignment horizontal="center"/>
      <protection/>
    </xf>
    <xf numFmtId="0" fontId="19" fillId="0" borderId="11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6" borderId="11" xfId="87" applyFont="1" applyFill="1" applyBorder="1" applyAlignment="1">
      <alignment horizontal="center"/>
      <protection/>
    </xf>
    <xf numFmtId="0" fontId="21" fillId="26" borderId="11" xfId="87" applyFont="1" applyFill="1" applyBorder="1">
      <alignment/>
      <protection/>
    </xf>
    <xf numFmtId="0" fontId="5" fillId="26" borderId="11" xfId="87" applyFont="1" applyFill="1" applyBorder="1" applyAlignment="1">
      <alignment horizontal="left" wrapText="1"/>
      <protection/>
    </xf>
    <xf numFmtId="4" fontId="5" fillId="26" borderId="11" xfId="98" applyNumberFormat="1" applyFont="1" applyFill="1" applyBorder="1" applyAlignment="1">
      <alignment horizontal="center" vertical="center"/>
    </xf>
    <xf numFmtId="0" fontId="21" fillId="0" borderId="11" xfId="87" applyFont="1" applyBorder="1">
      <alignment/>
      <protection/>
    </xf>
    <xf numFmtId="0" fontId="5" fillId="0" borderId="11" xfId="87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0" fontId="21" fillId="0" borderId="11" xfId="87" applyFont="1" applyFill="1" applyBorder="1" applyAlignment="1">
      <alignment horizontal="left" wrapText="1"/>
      <protection/>
    </xf>
    <xf numFmtId="4" fontId="21" fillId="0" borderId="11" xfId="80" applyNumberFormat="1" applyFont="1" applyFill="1" applyBorder="1" applyAlignment="1">
      <alignment horizontal="center"/>
      <protection/>
    </xf>
    <xf numFmtId="0" fontId="24" fillId="0" borderId="11" xfId="87" applyFont="1" applyFill="1" applyBorder="1" applyAlignment="1">
      <alignment horizontal="left" wrapText="1"/>
      <protection/>
    </xf>
    <xf numFmtId="4" fontId="24" fillId="0" borderId="11" xfId="80" applyNumberFormat="1" applyFont="1" applyFill="1" applyBorder="1" applyAlignment="1">
      <alignment horizontal="center"/>
      <protection/>
    </xf>
    <xf numFmtId="0" fontId="4" fillId="0" borderId="11" xfId="87" applyFont="1" applyBorder="1">
      <alignment/>
      <protection/>
    </xf>
    <xf numFmtId="16" fontId="5" fillId="26" borderId="11" xfId="87" applyNumberFormat="1" applyFont="1" applyFill="1" applyBorder="1" applyAlignment="1">
      <alignment horizontal="center"/>
      <protection/>
    </xf>
    <xf numFmtId="0" fontId="22" fillId="26" borderId="11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7" borderId="0" xfId="87" applyNumberFormat="1" applyFont="1" applyFill="1" applyBorder="1" applyAlignment="1">
      <alignment horizontal="center"/>
      <protection/>
    </xf>
    <xf numFmtId="0" fontId="21" fillId="27" borderId="0" xfId="87" applyFont="1" applyFill="1" applyBorder="1">
      <alignment/>
      <protection/>
    </xf>
    <xf numFmtId="0" fontId="22" fillId="27" borderId="0" xfId="87" applyFont="1" applyFill="1" applyBorder="1" applyAlignment="1">
      <alignment horizontal="center" vertical="center" wrapText="1"/>
      <protection/>
    </xf>
    <xf numFmtId="4" fontId="5" fillId="27" borderId="0" xfId="98" applyNumberFormat="1" applyFont="1" applyFill="1" applyBorder="1" applyAlignment="1">
      <alignment horizontal="center" vertical="center"/>
    </xf>
    <xf numFmtId="4" fontId="4" fillId="0" borderId="11" xfId="87" applyNumberFormat="1" applyFont="1" applyBorder="1">
      <alignment/>
      <protection/>
    </xf>
    <xf numFmtId="188" fontId="5" fillId="26" borderId="11" xfId="98" applyNumberFormat="1" applyFont="1" applyFill="1" applyBorder="1" applyAlignment="1">
      <alignment horizontal="center" vertical="center"/>
    </xf>
    <xf numFmtId="188" fontId="5" fillId="0" borderId="11" xfId="80" applyNumberFormat="1" applyFont="1" applyFill="1" applyBorder="1" applyAlignment="1">
      <alignment horizontal="center"/>
      <protection/>
    </xf>
    <xf numFmtId="188" fontId="25" fillId="27" borderId="11" xfId="80" applyNumberFormat="1" applyFont="1" applyFill="1" applyBorder="1" applyAlignment="1">
      <alignment horizontal="center"/>
      <protection/>
    </xf>
    <xf numFmtId="188" fontId="21" fillId="0" borderId="11" xfId="80" applyNumberFormat="1" applyFont="1" applyFill="1" applyBorder="1" applyAlignment="1">
      <alignment horizontal="center"/>
      <protection/>
    </xf>
    <xf numFmtId="188" fontId="25" fillId="0" borderId="11" xfId="80" applyNumberFormat="1" applyFont="1" applyFill="1" applyBorder="1" applyAlignment="1">
      <alignment horizontal="center"/>
      <protection/>
    </xf>
    <xf numFmtId="188" fontId="21" fillId="27" borderId="12" xfId="80" applyNumberFormat="1" applyFont="1" applyFill="1" applyBorder="1" applyAlignment="1">
      <alignment horizontal="center" vertical="center"/>
      <protection/>
    </xf>
    <xf numFmtId="4" fontId="21" fillId="0" borderId="11" xfId="87" applyNumberFormat="1" applyFont="1" applyBorder="1" applyAlignment="1">
      <alignment horizontal="center"/>
      <protection/>
    </xf>
    <xf numFmtId="0" fontId="5" fillId="0" borderId="11" xfId="87" applyFont="1" applyBorder="1" applyAlignment="1">
      <alignment horizontal="center" wrapText="1"/>
      <protection/>
    </xf>
    <xf numFmtId="188" fontId="23" fillId="0" borderId="11" xfId="0" applyNumberFormat="1" applyFont="1" applyFill="1" applyBorder="1" applyAlignment="1">
      <alignment vertical="top" wrapText="1"/>
    </xf>
    <xf numFmtId="188" fontId="23" fillId="0" borderId="12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1" xfId="86" applyNumberFormat="1" applyFont="1" applyFill="1" applyBorder="1" applyAlignment="1">
      <alignment horizontal="center" vertical="center"/>
      <protection/>
    </xf>
    <xf numFmtId="4" fontId="5" fillId="0" borderId="11" xfId="87" applyNumberFormat="1" applyFont="1" applyBorder="1" applyAlignment="1">
      <alignment horizontal="center" wrapText="1"/>
      <protection/>
    </xf>
    <xf numFmtId="188" fontId="5" fillId="0" borderId="11" xfId="87" applyNumberFormat="1" applyFont="1" applyBorder="1" applyAlignment="1">
      <alignment horizontal="center" wrapText="1"/>
      <protection/>
    </xf>
    <xf numFmtId="0" fontId="21" fillId="0" borderId="11" xfId="84" applyFont="1" applyFill="1" applyBorder="1" applyAlignment="1">
      <alignment vertical="top" wrapText="1"/>
      <protection/>
    </xf>
    <xf numFmtId="188" fontId="23" fillId="0" borderId="11" xfId="70" applyNumberFormat="1" applyFont="1" applyFill="1" applyBorder="1" applyAlignment="1">
      <alignment horizontal="center" vertical="center" wrapText="1"/>
      <protection/>
    </xf>
    <xf numFmtId="193" fontId="21" fillId="0" borderId="11" xfId="85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188" fontId="21" fillId="0" borderId="11" xfId="0" applyNumberFormat="1" applyFont="1" applyFill="1" applyBorder="1" applyAlignment="1">
      <alignment vertical="top" wrapText="1"/>
    </xf>
    <xf numFmtId="188" fontId="25" fillId="0" borderId="12" xfId="80" applyNumberFormat="1" applyFont="1" applyFill="1" applyBorder="1" applyAlignment="1">
      <alignment horizontal="center" vertical="center"/>
      <protection/>
    </xf>
    <xf numFmtId="0" fontId="0" fillId="26" borderId="0" xfId="87" applyFont="1" applyFill="1">
      <alignment/>
      <protection/>
    </xf>
    <xf numFmtId="0" fontId="3" fillId="0" borderId="11" xfId="87" applyFont="1" applyBorder="1">
      <alignment/>
      <protection/>
    </xf>
    <xf numFmtId="0" fontId="3" fillId="26" borderId="11" xfId="87" applyFont="1" applyFill="1" applyBorder="1">
      <alignment/>
      <protection/>
    </xf>
    <xf numFmtId="0" fontId="5" fillId="27" borderId="0" xfId="87" applyFont="1" applyFill="1" applyBorder="1" applyAlignment="1">
      <alignment/>
      <protection/>
    </xf>
    <xf numFmtId="4" fontId="21" fillId="0" borderId="11" xfId="87" applyNumberFormat="1" applyFont="1" applyBorder="1">
      <alignment/>
      <protection/>
    </xf>
    <xf numFmtId="4" fontId="5" fillId="27" borderId="11" xfId="87" applyNumberFormat="1" applyFont="1" applyFill="1" applyBorder="1" applyAlignment="1">
      <alignment/>
      <protection/>
    </xf>
    <xf numFmtId="4" fontId="5" fillId="26" borderId="11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6" borderId="11" xfId="80" applyNumberFormat="1" applyFont="1" applyFill="1" applyBorder="1" applyAlignment="1">
      <alignment horizontal="center"/>
      <protection/>
    </xf>
    <xf numFmtId="188" fontId="25" fillId="27" borderId="12" xfId="80" applyNumberFormat="1" applyFont="1" applyFill="1" applyBorder="1" applyAlignment="1">
      <alignment horizontal="center" vertical="center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10" borderId="11" xfId="0" applyNumberFormat="1" applyFont="1" applyFill="1" applyBorder="1" applyAlignment="1">
      <alignment horizontal="center" vertical="center" wrapText="1"/>
    </xf>
    <xf numFmtId="188" fontId="5" fillId="0" borderId="11" xfId="98" applyNumberFormat="1" applyFont="1" applyFill="1" applyBorder="1" applyAlignment="1">
      <alignment horizontal="center" vertical="center"/>
    </xf>
    <xf numFmtId="188" fontId="21" fillId="27" borderId="11" xfId="80" applyNumberFormat="1" applyFont="1" applyFill="1" applyBorder="1" applyAlignment="1">
      <alignment horizontal="center"/>
      <protection/>
    </xf>
    <xf numFmtId="4" fontId="21" fillId="0" borderId="11" xfId="0" applyNumberFormat="1" applyFont="1" applyFill="1" applyBorder="1" applyAlignment="1">
      <alignment horizontal="center" vertical="center" wrapText="1"/>
    </xf>
    <xf numFmtId="188" fontId="27" fillId="27" borderId="12" xfId="80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3" xfId="87" applyFont="1" applyBorder="1" applyAlignment="1">
      <alignment horizontal="center" vertical="center"/>
      <protection/>
    </xf>
    <xf numFmtId="0" fontId="5" fillId="0" borderId="12" xfId="87" applyFont="1" applyBorder="1" applyAlignment="1">
      <alignment horizontal="center" vertical="center"/>
      <protection/>
    </xf>
    <xf numFmtId="0" fontId="13" fillId="0" borderId="13" xfId="80" applyFont="1" applyBorder="1" applyAlignment="1">
      <alignment horizontal="center" vertical="center" wrapText="1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1" xfId="87" applyFont="1" applyBorder="1" applyAlignment="1">
      <alignment horizontal="center" wrapText="1"/>
      <protection/>
    </xf>
    <xf numFmtId="188" fontId="21" fillId="27" borderId="13" xfId="80" applyNumberFormat="1" applyFont="1" applyFill="1" applyBorder="1" applyAlignment="1">
      <alignment horizontal="center" vertical="center"/>
      <protection/>
    </xf>
    <xf numFmtId="188" fontId="21" fillId="27" borderId="17" xfId="80" applyNumberFormat="1" applyFont="1" applyFill="1" applyBorder="1" applyAlignment="1">
      <alignment horizontal="center" vertical="center"/>
      <protection/>
    </xf>
    <xf numFmtId="188" fontId="21" fillId="27" borderId="12" xfId="80" applyNumberFormat="1" applyFont="1" applyFill="1" applyBorder="1" applyAlignment="1">
      <alignment horizontal="center" vertical="center"/>
      <protection/>
    </xf>
    <xf numFmtId="0" fontId="13" fillId="23" borderId="13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2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" sqref="H5:H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78" t="s">
        <v>21</v>
      </c>
      <c r="B2" s="78"/>
      <c r="C2" s="78"/>
      <c r="D2" s="78"/>
      <c r="E2" s="78"/>
      <c r="F2" s="78"/>
      <c r="G2" s="78"/>
    </row>
    <row r="3" spans="1:7" ht="20.25" customHeight="1">
      <c r="A3" s="79" t="s">
        <v>3</v>
      </c>
      <c r="B3" s="79"/>
      <c r="C3" s="79"/>
      <c r="D3" s="79"/>
      <c r="E3" s="79"/>
      <c r="F3" s="79"/>
      <c r="G3" s="79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0" t="s">
        <v>7</v>
      </c>
      <c r="B5" s="11"/>
      <c r="C5" s="80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201</v>
      </c>
      <c r="I5" s="76" t="s">
        <v>27</v>
      </c>
      <c r="J5" s="76" t="s">
        <v>200</v>
      </c>
    </row>
    <row r="6" spans="1:25" ht="35.25" customHeight="1">
      <c r="A6" s="81"/>
      <c r="B6" s="14" t="s">
        <v>8</v>
      </c>
      <c r="C6" s="81"/>
      <c r="D6" s="83"/>
      <c r="E6" s="83"/>
      <c r="F6" s="83"/>
      <c r="G6" s="12" t="s">
        <v>25</v>
      </c>
      <c r="H6" s="83"/>
      <c r="I6" s="77"/>
      <c r="J6" s="77"/>
      <c r="L6" s="91" t="s">
        <v>199</v>
      </c>
      <c r="M6" s="76" t="s">
        <v>175</v>
      </c>
      <c r="N6" s="93" t="s">
        <v>176</v>
      </c>
      <c r="O6" s="76" t="s">
        <v>177</v>
      </c>
      <c r="P6" s="76" t="s">
        <v>178</v>
      </c>
      <c r="Q6" s="76" t="s">
        <v>179</v>
      </c>
      <c r="R6" s="76" t="s">
        <v>180</v>
      </c>
      <c r="S6" s="76" t="s">
        <v>181</v>
      </c>
      <c r="T6" s="76" t="s">
        <v>182</v>
      </c>
      <c r="U6" s="76" t="s">
        <v>183</v>
      </c>
      <c r="V6" s="76" t="s">
        <v>184</v>
      </c>
      <c r="W6" s="76" t="s">
        <v>185</v>
      </c>
      <c r="X6" s="76" t="s">
        <v>186</v>
      </c>
      <c r="Y6" s="76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2"/>
      <c r="M7" s="77"/>
      <c r="N7" s="94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15" customFormat="1" ht="19.5" customHeight="1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84708262.22999999</v>
      </c>
      <c r="I9" s="38">
        <f aca="true" t="shared" si="0" ref="I9:I25">H9/D9*100</f>
        <v>56.107618427018465</v>
      </c>
      <c r="J9" s="38">
        <f>H9/(M9+N9+O9+N26+O26+P9+P26+Q9+R9+S9+Q26+R26+S26+T9+T26+U9+U26)*100</f>
        <v>82.88593854961451</v>
      </c>
      <c r="K9" s="63"/>
      <c r="L9" s="64">
        <f>H10-(M9+N9+O9+P9+Q9+R9+S9+T9+U9)</f>
        <v>-2291552.810000006</v>
      </c>
      <c r="M9" s="65">
        <f>M10+M18</f>
        <v>5500800</v>
      </c>
      <c r="N9" s="66">
        <f>N10+N18</f>
        <v>4980000</v>
      </c>
      <c r="O9" s="65">
        <f>O10+O18</f>
        <v>4668604.88</v>
      </c>
      <c r="P9" s="65">
        <f>P10+P18</f>
        <v>-392439</v>
      </c>
      <c r="Q9" s="65">
        <f aca="true" t="shared" si="1" ref="Q9:X9">Q10+Q18</f>
        <v>2172168</v>
      </c>
      <c r="R9" s="65">
        <f t="shared" si="1"/>
        <v>2349352.8499999996</v>
      </c>
      <c r="S9" s="65">
        <f t="shared" si="1"/>
        <v>2763135.73</v>
      </c>
      <c r="T9" s="65">
        <f t="shared" si="1"/>
        <v>5718972.4</v>
      </c>
      <c r="U9" s="65">
        <f t="shared" si="1"/>
        <v>6655606.34</v>
      </c>
      <c r="V9" s="65">
        <f t="shared" si="1"/>
        <v>10512691.35</v>
      </c>
      <c r="W9" s="65">
        <f t="shared" si="1"/>
        <v>5689987.34</v>
      </c>
      <c r="X9" s="65">
        <f t="shared" si="1"/>
        <v>7478449</v>
      </c>
      <c r="Y9" s="22">
        <f>SUM(M9:X9)</f>
        <v>58097328.89</v>
      </c>
      <c r="Z9" s="67">
        <f>D10-Y9</f>
        <v>0</v>
      </c>
      <c r="AC9" s="67"/>
    </row>
    <row r="10" spans="1:26" ht="18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32124648.389999997</v>
      </c>
      <c r="I10" s="39">
        <f t="shared" si="0"/>
        <v>55.294535917174414</v>
      </c>
      <c r="J10" s="41">
        <f>H10/(M9+N9+O9+P9+Q9+R9+S9+T9+U9)*100</f>
        <v>93.3416451261332</v>
      </c>
      <c r="L10" s="64">
        <f>(H11+H14+H15+H17)-(M10+N10+O10+P10+Q10+R10+S10+T10+U10)</f>
        <v>-62846.21999999881</v>
      </c>
      <c r="M10" s="24">
        <f>5000800+300000</f>
        <v>5300800</v>
      </c>
      <c r="N10" s="68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7">
        <f>Y10-D11-D13-D14-D15-D16-D17</f>
        <v>0</v>
      </c>
    </row>
    <row r="11" spans="1:26" ht="18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73">
        <f>H11/D11*100</f>
        <v>54.508250405206915</v>
      </c>
      <c r="J11" s="88">
        <f>(H11+H13+H14+H15+H16+H17)/(M10+N10+O10+P10+Q10+R10+S10+T10+U10)*100</f>
        <v>99.71433454195234</v>
      </c>
      <c r="L11" s="64"/>
      <c r="M11" s="24"/>
      <c r="N11" s="68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7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9"/>
      <c r="L12" s="64"/>
      <c r="M12" s="24"/>
      <c r="N12" s="68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7"/>
    </row>
    <row r="13" spans="1:26" ht="18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9"/>
      <c r="L13" s="64"/>
      <c r="M13" s="24"/>
      <c r="N13" s="68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7"/>
    </row>
    <row r="14" spans="1:26" s="4" customFormat="1" ht="18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89"/>
      <c r="L14" s="64"/>
      <c r="M14" s="24"/>
      <c r="N14" s="68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7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89"/>
      <c r="L15" s="64"/>
      <c r="M15" s="24"/>
      <c r="N15" s="68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7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89"/>
      <c r="L16" s="64"/>
      <c r="M16" s="24"/>
      <c r="N16" s="68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7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0"/>
      <c r="L17" s="64"/>
      <c r="M17" s="24"/>
      <c r="N17" s="68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7"/>
    </row>
    <row r="18" spans="1:26" ht="36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11217333.239999998</v>
      </c>
      <c r="I18" s="41">
        <f t="shared" si="0"/>
        <v>68.21245288755647</v>
      </c>
      <c r="J18" s="88">
        <f>H18/(M18+N18+O18+P18+Q18+R18+S18+T18+U18)*100</f>
        <v>83.40651056340998</v>
      </c>
      <c r="L18" s="64">
        <f>H18-(M18+N18+O18+P18+Q18+R18+S18+T18+U18)</f>
        <v>-2231656.7300000023</v>
      </c>
      <c r="M18" s="24">
        <f>500000-300000</f>
        <v>200000</v>
      </c>
      <c r="N18" s="68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7">
        <f>Y18-D18</f>
        <v>0</v>
      </c>
    </row>
    <row r="19" spans="1:25" ht="18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</f>
        <v>3740115.5200000005</v>
      </c>
      <c r="I19" s="41">
        <f t="shared" si="0"/>
        <v>97.89504718709627</v>
      </c>
      <c r="J19" s="89"/>
      <c r="L19" s="64">
        <f>D19-H19</f>
        <v>80420.47999999952</v>
      </c>
      <c r="M19" s="24"/>
      <c r="N19" s="68"/>
      <c r="O19" s="24"/>
      <c r="P19" s="24"/>
      <c r="Q19" s="24"/>
      <c r="R19" s="24"/>
      <c r="S19" s="24"/>
      <c r="T19" s="24">
        <f>E19-H19</f>
        <v>80420.47999999952</v>
      </c>
      <c r="U19" s="24"/>
      <c r="V19" s="24"/>
      <c r="W19" s="24"/>
      <c r="X19" s="24"/>
      <c r="Y19" s="22">
        <f t="shared" si="3"/>
        <v>80420.47999999952</v>
      </c>
    </row>
    <row r="20" spans="1:25" ht="18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89"/>
      <c r="L20" s="64">
        <f aca="true" t="shared" si="5" ref="L20:L25">D20-H20</f>
        <v>4036307.5</v>
      </c>
      <c r="M20" s="24"/>
      <c r="N20" s="68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89"/>
      <c r="L21" s="64">
        <f t="shared" si="5"/>
        <v>16144.599999999977</v>
      </c>
      <c r="M21" s="24"/>
      <c r="N21" s="68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6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89"/>
      <c r="L22" s="64">
        <f t="shared" si="5"/>
        <v>32500.73999999999</v>
      </c>
      <c r="M22" s="24"/>
      <c r="N22" s="68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9"/>
      <c r="L23" s="64">
        <f t="shared" si="5"/>
        <v>498426</v>
      </c>
      <c r="M23" s="24"/>
      <c r="N23" s="68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9"/>
      <c r="L24" s="64">
        <f t="shared" si="5"/>
        <v>25751.550000000017</v>
      </c>
      <c r="M24" s="24"/>
      <c r="N24" s="68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90"/>
      <c r="L25" s="64">
        <f t="shared" si="5"/>
        <v>537815.8900000001</v>
      </c>
      <c r="M25" s="24"/>
      <c r="N25" s="68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52583613.839999996</v>
      </c>
      <c r="I26" s="22">
        <f>H26/D26*100</f>
        <v>56.616224166562375</v>
      </c>
      <c r="J26" s="22">
        <f>H26/(N26+O26+P26+Q26+R26+S26+T26+U26)*100</f>
        <v>77.57710101004334</v>
      </c>
      <c r="L26" s="64">
        <f>H26-(M26+N26+O26+P26+Q26+R26+S26+T26+U26)</f>
        <v>-15198777.04</v>
      </c>
      <c r="M26" s="24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7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9" t="e">
        <f>H27/(N27+O27+P27+Q27+R27+S27)*100</f>
        <v>#DIV/0!</v>
      </c>
      <c r="L27" s="64">
        <f aca="true" t="shared" si="11" ref="L27:L90">H27-(M27+N27+O27+P27+Q27+R27+S27+T27+U27)</f>
        <v>0</v>
      </c>
      <c r="M27" s="70"/>
      <c r="N27" s="70"/>
      <c r="O27" s="70"/>
      <c r="P27" s="70"/>
      <c r="Q27" s="70"/>
      <c r="R27" s="70"/>
      <c r="S27" s="70">
        <f>8000-8000</f>
        <v>0</v>
      </c>
      <c r="T27" s="70">
        <f>56000-56000</f>
        <v>0</v>
      </c>
      <c r="U27" s="70"/>
      <c r="V27" s="70">
        <f>16000-16000</f>
        <v>0</v>
      </c>
      <c r="W27" s="70"/>
      <c r="X27" s="70"/>
      <c r="Y27" s="22">
        <f aca="true" t="shared" si="12" ref="Y27:Y92">SUM(M27:X27)</f>
        <v>0</v>
      </c>
      <c r="Z27" s="67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9" t="e">
        <f>H28/(N28+O28+P28+Q28+R28+S28)*100</f>
        <v>#DIV/0!</v>
      </c>
      <c r="L28" s="64">
        <f t="shared" si="11"/>
        <v>0</v>
      </c>
      <c r="M28" s="70"/>
      <c r="N28" s="70"/>
      <c r="O28" s="70"/>
      <c r="P28" s="70"/>
      <c r="Q28" s="70"/>
      <c r="R28" s="70"/>
      <c r="S28" s="70">
        <f>14000-14000</f>
        <v>0</v>
      </c>
      <c r="T28" s="70">
        <f>98000-98000</f>
        <v>0</v>
      </c>
      <c r="U28" s="70"/>
      <c r="V28" s="70">
        <f>28000-28000</f>
        <v>0</v>
      </c>
      <c r="W28" s="70"/>
      <c r="X28" s="70"/>
      <c r="Y28" s="22">
        <f t="shared" si="12"/>
        <v>0</v>
      </c>
      <c r="Z28" s="67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9" t="e">
        <f>H29/(N29+O29+P29+Q29+R29+S29+T29)*100</f>
        <v>#DIV/0!</v>
      </c>
      <c r="L29" s="64">
        <f t="shared" si="11"/>
        <v>0</v>
      </c>
      <c r="M29" s="70"/>
      <c r="N29" s="70"/>
      <c r="O29" s="70"/>
      <c r="P29" s="70"/>
      <c r="Q29" s="70"/>
      <c r="R29" s="70"/>
      <c r="S29" s="70">
        <v>15340</v>
      </c>
      <c r="T29" s="74">
        <f>107380-122720</f>
        <v>-15340</v>
      </c>
      <c r="U29" s="70"/>
      <c r="V29" s="70">
        <f>30680-30680</f>
        <v>0</v>
      </c>
      <c r="W29" s="70"/>
      <c r="X29" s="70"/>
      <c r="Y29" s="22">
        <f t="shared" si="12"/>
        <v>0</v>
      </c>
      <c r="Z29" s="67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9" t="e">
        <f>H30/(N30+O30+P30+Q30+R30+S30+T30)*100</f>
        <v>#DIV/0!</v>
      </c>
      <c r="L30" s="64">
        <f t="shared" si="11"/>
        <v>0</v>
      </c>
      <c r="M30" s="70"/>
      <c r="N30" s="70"/>
      <c r="O30" s="70"/>
      <c r="P30" s="70"/>
      <c r="Q30" s="70"/>
      <c r="R30" s="70"/>
      <c r="S30" s="70">
        <v>15340</v>
      </c>
      <c r="T30" s="74">
        <f>107380-122720</f>
        <v>-15340</v>
      </c>
      <c r="U30" s="70"/>
      <c r="V30" s="70">
        <f>30680-30680</f>
        <v>0</v>
      </c>
      <c r="W30" s="70"/>
      <c r="X30" s="70"/>
      <c r="Y30" s="22">
        <f t="shared" si="12"/>
        <v>0</v>
      </c>
      <c r="Z30" s="67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69">
        <f>H31/(N31+O31+P31+Q31+R31+S31+T31+U31)*100</f>
        <v>28.245458573327426</v>
      </c>
      <c r="L31" s="64">
        <f t="shared" si="11"/>
        <v>-129560</v>
      </c>
      <c r="M31" s="70"/>
      <c r="N31" s="70"/>
      <c r="O31" s="70"/>
      <c r="P31" s="70"/>
      <c r="Q31" s="70"/>
      <c r="R31" s="70"/>
      <c r="S31" s="70">
        <v>22570</v>
      </c>
      <c r="T31" s="74">
        <v>157990</v>
      </c>
      <c r="U31" s="70"/>
      <c r="V31" s="70">
        <v>45140</v>
      </c>
      <c r="W31" s="70"/>
      <c r="X31" s="70"/>
      <c r="Y31" s="22">
        <f t="shared" si="12"/>
        <v>225700</v>
      </c>
      <c r="Z31" s="67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69">
        <f aca="true" t="shared" si="14" ref="J32:J95">H32/(N32+O32+P32+Q32+R32+S32+T32+U32)*100</f>
        <v>6.844850065189048</v>
      </c>
      <c r="L32" s="64">
        <f t="shared" si="11"/>
        <v>-571600</v>
      </c>
      <c r="M32" s="70"/>
      <c r="N32" s="70"/>
      <c r="O32" s="70"/>
      <c r="P32" s="70"/>
      <c r="Q32" s="70"/>
      <c r="R32" s="70"/>
      <c r="S32" s="70">
        <v>76700</v>
      </c>
      <c r="T32" s="74">
        <v>536900</v>
      </c>
      <c r="U32" s="70"/>
      <c r="V32" s="70">
        <v>153400</v>
      </c>
      <c r="W32" s="70"/>
      <c r="X32" s="70"/>
      <c r="Y32" s="22">
        <f t="shared" si="12"/>
        <v>767000</v>
      </c>
      <c r="Z32" s="67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9">
        <f t="shared" si="14"/>
        <v>0</v>
      </c>
      <c r="L33" s="64">
        <f t="shared" si="11"/>
        <v>-480000</v>
      </c>
      <c r="M33" s="70"/>
      <c r="N33" s="70"/>
      <c r="O33" s="70"/>
      <c r="P33" s="70"/>
      <c r="Q33" s="70"/>
      <c r="R33" s="70"/>
      <c r="S33" s="70">
        <v>60000</v>
      </c>
      <c r="T33" s="74">
        <v>420000</v>
      </c>
      <c r="U33" s="70"/>
      <c r="V33" s="70">
        <v>120000</v>
      </c>
      <c r="W33" s="70"/>
      <c r="X33" s="70"/>
      <c r="Y33" s="22">
        <f t="shared" si="12"/>
        <v>600000</v>
      </c>
      <c r="Z33" s="67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9" t="e">
        <f t="shared" si="14"/>
        <v>#DIV/0!</v>
      </c>
      <c r="L34" s="64">
        <f t="shared" si="11"/>
        <v>0</v>
      </c>
      <c r="M34" s="70"/>
      <c r="N34" s="70"/>
      <c r="O34" s="70"/>
      <c r="P34" s="70"/>
      <c r="Q34" s="70"/>
      <c r="R34" s="70"/>
      <c r="S34" s="70">
        <f>10000-10000</f>
        <v>0</v>
      </c>
      <c r="T34" s="74">
        <f>70000-70000</f>
        <v>0</v>
      </c>
      <c r="U34" s="70"/>
      <c r="V34" s="70">
        <f>20000-20000</f>
        <v>0</v>
      </c>
      <c r="W34" s="70"/>
      <c r="X34" s="70"/>
      <c r="Y34" s="22">
        <f t="shared" si="12"/>
        <v>0</v>
      </c>
      <c r="Z34" s="67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9" t="e">
        <f t="shared" si="14"/>
        <v>#DIV/0!</v>
      </c>
      <c r="L35" s="64">
        <f t="shared" si="11"/>
        <v>0</v>
      </c>
      <c r="M35" s="70"/>
      <c r="N35" s="70"/>
      <c r="O35" s="70"/>
      <c r="P35" s="70"/>
      <c r="Q35" s="70"/>
      <c r="R35" s="70"/>
      <c r="S35" s="70">
        <v>62000</v>
      </c>
      <c r="T35" s="74">
        <f>434000-496000</f>
        <v>-62000</v>
      </c>
      <c r="U35" s="70"/>
      <c r="V35" s="70">
        <f>124000+496000</f>
        <v>620000</v>
      </c>
      <c r="W35" s="70"/>
      <c r="X35" s="70"/>
      <c r="Y35" s="22">
        <f t="shared" si="12"/>
        <v>620000</v>
      </c>
      <c r="Z35" s="67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9" t="e">
        <f t="shared" si="14"/>
        <v>#DIV/0!</v>
      </c>
      <c r="L36" s="64">
        <f t="shared" si="11"/>
        <v>0</v>
      </c>
      <c r="M36" s="70"/>
      <c r="N36" s="70"/>
      <c r="O36" s="70"/>
      <c r="P36" s="70"/>
      <c r="Q36" s="70"/>
      <c r="R36" s="70"/>
      <c r="S36" s="70">
        <f>8000-8000</f>
        <v>0</v>
      </c>
      <c r="T36" s="74">
        <f>56000-56000</f>
        <v>0</v>
      </c>
      <c r="U36" s="70"/>
      <c r="V36" s="70">
        <f>16000-16000</f>
        <v>0</v>
      </c>
      <c r="W36" s="70"/>
      <c r="X36" s="70"/>
      <c r="Y36" s="22">
        <f t="shared" si="12"/>
        <v>0</v>
      </c>
      <c r="Z36" s="67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9">
        <f t="shared" si="14"/>
        <v>0</v>
      </c>
      <c r="L37" s="64">
        <f t="shared" si="11"/>
        <v>-160000</v>
      </c>
      <c r="M37" s="70"/>
      <c r="N37" s="70"/>
      <c r="O37" s="70"/>
      <c r="P37" s="70"/>
      <c r="Q37" s="70"/>
      <c r="R37" s="70"/>
      <c r="S37" s="70">
        <v>20000</v>
      </c>
      <c r="T37" s="74">
        <v>140000</v>
      </c>
      <c r="U37" s="70"/>
      <c r="V37" s="70">
        <v>40000</v>
      </c>
      <c r="W37" s="70"/>
      <c r="X37" s="70"/>
      <c r="Y37" s="22">
        <f t="shared" si="12"/>
        <v>200000</v>
      </c>
      <c r="Z37" s="67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9">
        <f t="shared" si="14"/>
        <v>0</v>
      </c>
      <c r="L38" s="64">
        <f t="shared" si="11"/>
        <v>-80000</v>
      </c>
      <c r="M38" s="70"/>
      <c r="N38" s="70"/>
      <c r="O38" s="70"/>
      <c r="P38" s="70"/>
      <c r="Q38" s="70"/>
      <c r="R38" s="70"/>
      <c r="S38" s="70">
        <v>10000</v>
      </c>
      <c r="T38" s="74">
        <v>70000</v>
      </c>
      <c r="U38" s="70"/>
      <c r="V38" s="70">
        <v>20000</v>
      </c>
      <c r="W38" s="70"/>
      <c r="X38" s="70"/>
      <c r="Y38" s="22">
        <f t="shared" si="12"/>
        <v>100000</v>
      </c>
      <c r="Z38" s="67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69">
        <f t="shared" si="14"/>
        <v>24.379432624113477</v>
      </c>
      <c r="L39" s="64">
        <f t="shared" si="11"/>
        <v>-136480</v>
      </c>
      <c r="M39" s="70"/>
      <c r="N39" s="70"/>
      <c r="O39" s="70"/>
      <c r="P39" s="70"/>
      <c r="Q39" s="70"/>
      <c r="R39" s="70"/>
      <c r="S39" s="70">
        <v>22560</v>
      </c>
      <c r="T39" s="74">
        <v>157920</v>
      </c>
      <c r="U39" s="70"/>
      <c r="V39" s="70">
        <v>45120</v>
      </c>
      <c r="W39" s="70"/>
      <c r="X39" s="70"/>
      <c r="Y39" s="22">
        <f t="shared" si="12"/>
        <v>225600</v>
      </c>
      <c r="Z39" s="67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9" t="e">
        <f t="shared" si="14"/>
        <v>#DIV/0!</v>
      </c>
      <c r="L40" s="64">
        <f t="shared" si="11"/>
        <v>0</v>
      </c>
      <c r="M40" s="70"/>
      <c r="N40" s="70"/>
      <c r="O40" s="70"/>
      <c r="P40" s="70"/>
      <c r="Q40" s="70"/>
      <c r="R40" s="70"/>
      <c r="S40" s="70">
        <f>11700-11700</f>
        <v>0</v>
      </c>
      <c r="T40" s="74">
        <f>81900-81900</f>
        <v>0</v>
      </c>
      <c r="U40" s="70"/>
      <c r="V40" s="70">
        <f>23400-23400</f>
        <v>0</v>
      </c>
      <c r="W40" s="70"/>
      <c r="X40" s="70"/>
      <c r="Y40" s="22">
        <f t="shared" si="12"/>
        <v>0</v>
      </c>
      <c r="Z40" s="67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9">
        <f t="shared" si="14"/>
        <v>0</v>
      </c>
      <c r="L41" s="64">
        <f t="shared" si="11"/>
        <v>-160000</v>
      </c>
      <c r="M41" s="70"/>
      <c r="N41" s="70"/>
      <c r="O41" s="70"/>
      <c r="P41" s="70"/>
      <c r="Q41" s="70"/>
      <c r="R41" s="70"/>
      <c r="S41" s="70">
        <v>20000</v>
      </c>
      <c r="T41" s="74">
        <v>140000</v>
      </c>
      <c r="U41" s="70"/>
      <c r="V41" s="70">
        <v>40000</v>
      </c>
      <c r="W41" s="70"/>
      <c r="X41" s="70"/>
      <c r="Y41" s="22">
        <f>SUM(M41:X41)</f>
        <v>200000</v>
      </c>
      <c r="Z41" s="67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9">
        <f t="shared" si="14"/>
        <v>0</v>
      </c>
      <c r="L42" s="64">
        <f t="shared" si="11"/>
        <v>-80000</v>
      </c>
      <c r="M42" s="70"/>
      <c r="N42" s="70"/>
      <c r="O42" s="70"/>
      <c r="P42" s="70"/>
      <c r="Q42" s="70"/>
      <c r="R42" s="70"/>
      <c r="S42" s="70">
        <v>10000</v>
      </c>
      <c r="T42" s="74">
        <v>70000</v>
      </c>
      <c r="U42" s="70"/>
      <c r="V42" s="70">
        <v>20000</v>
      </c>
      <c r="W42" s="70"/>
      <c r="X42" s="70"/>
      <c r="Y42" s="22">
        <f>SUM(M42:X42)</f>
        <v>100000</v>
      </c>
      <c r="Z42" s="67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9">
        <f t="shared" si="14"/>
        <v>0</v>
      </c>
      <c r="L43" s="64">
        <f t="shared" si="11"/>
        <v>-80000</v>
      </c>
      <c r="M43" s="70"/>
      <c r="N43" s="70"/>
      <c r="O43" s="70"/>
      <c r="P43" s="70"/>
      <c r="Q43" s="70"/>
      <c r="R43" s="70"/>
      <c r="S43" s="70">
        <v>10000</v>
      </c>
      <c r="T43" s="74">
        <v>70000</v>
      </c>
      <c r="U43" s="70"/>
      <c r="V43" s="70">
        <v>20000</v>
      </c>
      <c r="W43" s="70"/>
      <c r="X43" s="70"/>
      <c r="Y43" s="22">
        <f>SUM(M43:X43)</f>
        <v>100000</v>
      </c>
      <c r="Z43" s="67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69">
        <f t="shared" si="14"/>
        <v>12.101910828025478</v>
      </c>
      <c r="L44" s="64">
        <f t="shared" si="11"/>
        <v>-138000</v>
      </c>
      <c r="M44" s="70"/>
      <c r="N44" s="70"/>
      <c r="O44" s="70"/>
      <c r="P44" s="70"/>
      <c r="Q44" s="70"/>
      <c r="R44" s="70"/>
      <c r="S44" s="70">
        <v>5000</v>
      </c>
      <c r="T44" s="74">
        <v>35000</v>
      </c>
      <c r="U44" s="70">
        <f>117000</f>
        <v>117000</v>
      </c>
      <c r="V44" s="70">
        <v>10000</v>
      </c>
      <c r="W44" s="70"/>
      <c r="X44" s="70"/>
      <c r="Y44" s="22">
        <f t="shared" si="12"/>
        <v>167000</v>
      </c>
      <c r="Z44" s="67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69">
        <f t="shared" si="14"/>
        <v>0</v>
      </c>
      <c r="L45" s="64">
        <f t="shared" si="11"/>
        <v>-368160</v>
      </c>
      <c r="M45" s="70"/>
      <c r="N45" s="70"/>
      <c r="O45" s="70"/>
      <c r="P45" s="70"/>
      <c r="Q45" s="70"/>
      <c r="R45" s="70"/>
      <c r="S45" s="70">
        <v>15340</v>
      </c>
      <c r="T45" s="74">
        <f>107380+245440</f>
        <v>352820</v>
      </c>
      <c r="U45" s="70"/>
      <c r="V45" s="70">
        <f>30680+61360</f>
        <v>92040</v>
      </c>
      <c r="W45" s="70"/>
      <c r="X45" s="70"/>
      <c r="Y45" s="22">
        <f t="shared" si="12"/>
        <v>460200</v>
      </c>
      <c r="Z45" s="67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69" t="e">
        <f t="shared" si="14"/>
        <v>#DIV/0!</v>
      </c>
      <c r="L46" s="64">
        <f t="shared" si="11"/>
        <v>0</v>
      </c>
      <c r="M46" s="70"/>
      <c r="N46" s="70"/>
      <c r="O46" s="70"/>
      <c r="P46" s="70"/>
      <c r="Q46" s="70"/>
      <c r="R46" s="70"/>
      <c r="S46" s="70">
        <v>15340</v>
      </c>
      <c r="T46" s="74">
        <f>107380-122720</f>
        <v>-15340</v>
      </c>
      <c r="U46" s="70"/>
      <c r="V46" s="70">
        <f>30680-30680</f>
        <v>0</v>
      </c>
      <c r="W46" s="70"/>
      <c r="X46" s="70"/>
      <c r="Y46" s="22">
        <f t="shared" si="12"/>
        <v>0</v>
      </c>
      <c r="Z46" s="67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69">
        <f t="shared" si="14"/>
        <v>0</v>
      </c>
      <c r="L47" s="64">
        <f t="shared" si="11"/>
        <v>-245440</v>
      </c>
      <c r="M47" s="70"/>
      <c r="N47" s="70"/>
      <c r="O47" s="70"/>
      <c r="P47" s="70"/>
      <c r="Q47" s="70"/>
      <c r="R47" s="70"/>
      <c r="S47" s="70">
        <v>15340</v>
      </c>
      <c r="T47" s="74">
        <f>107380+122720</f>
        <v>230100</v>
      </c>
      <c r="U47" s="70"/>
      <c r="V47" s="70">
        <f>30680+30680</f>
        <v>61360</v>
      </c>
      <c r="W47" s="70"/>
      <c r="X47" s="70"/>
      <c r="Y47" s="22">
        <f t="shared" si="12"/>
        <v>306800</v>
      </c>
      <c r="Z47" s="67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69">
        <f t="shared" si="14"/>
        <v>8.258928571428571</v>
      </c>
      <c r="L48" s="64">
        <f t="shared" si="11"/>
        <v>-411000</v>
      </c>
      <c r="M48" s="70"/>
      <c r="N48" s="70"/>
      <c r="O48" s="70"/>
      <c r="P48" s="70"/>
      <c r="Q48" s="70"/>
      <c r="R48" s="70"/>
      <c r="S48" s="70">
        <v>56000</v>
      </c>
      <c r="T48" s="74">
        <v>392000</v>
      </c>
      <c r="U48" s="70"/>
      <c r="V48" s="70">
        <v>112000</v>
      </c>
      <c r="W48" s="70"/>
      <c r="X48" s="70"/>
      <c r="Y48" s="22">
        <f t="shared" si="12"/>
        <v>560000</v>
      </c>
      <c r="Z48" s="67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69">
        <f t="shared" si="14"/>
        <v>66.5873663624511</v>
      </c>
      <c r="L49" s="64">
        <f t="shared" si="11"/>
        <v>-512549.80000000005</v>
      </c>
      <c r="M49" s="70"/>
      <c r="N49" s="70"/>
      <c r="O49" s="70"/>
      <c r="P49" s="70"/>
      <c r="Q49" s="70"/>
      <c r="R49" s="70"/>
      <c r="S49" s="70">
        <v>153400</v>
      </c>
      <c r="T49" s="74">
        <f>1073800-4000</f>
        <v>1069800</v>
      </c>
      <c r="U49" s="70">
        <f>310800</f>
        <v>310800</v>
      </c>
      <c r="V49" s="70">
        <f>306800+4000-310800</f>
        <v>0</v>
      </c>
      <c r="W49" s="70"/>
      <c r="X49" s="70"/>
      <c r="Y49" s="22">
        <f t="shared" si="12"/>
        <v>1534000</v>
      </c>
      <c r="Z49" s="67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69">
        <f t="shared" si="14"/>
        <v>0</v>
      </c>
      <c r="L50" s="64">
        <f t="shared" si="11"/>
        <v>-80000</v>
      </c>
      <c r="M50" s="70"/>
      <c r="N50" s="70"/>
      <c r="O50" s="70"/>
      <c r="P50" s="70"/>
      <c r="Q50" s="70"/>
      <c r="R50" s="70"/>
      <c r="S50" s="70">
        <v>10000</v>
      </c>
      <c r="T50" s="74">
        <v>70000</v>
      </c>
      <c r="U50" s="70"/>
      <c r="V50" s="70">
        <v>20000</v>
      </c>
      <c r="W50" s="70"/>
      <c r="X50" s="70"/>
      <c r="Y50" s="22">
        <f t="shared" si="12"/>
        <v>100000</v>
      </c>
      <c r="Z50" s="67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69">
        <f t="shared" si="14"/>
        <v>0</v>
      </c>
      <c r="L51" s="64">
        <f t="shared" si="11"/>
        <v>-180560</v>
      </c>
      <c r="M51" s="70"/>
      <c r="N51" s="70"/>
      <c r="O51" s="70"/>
      <c r="P51" s="70"/>
      <c r="Q51" s="70"/>
      <c r="R51" s="70"/>
      <c r="S51" s="70">
        <v>22570</v>
      </c>
      <c r="T51" s="74">
        <v>157990</v>
      </c>
      <c r="U51" s="70"/>
      <c r="V51" s="70">
        <v>45140</v>
      </c>
      <c r="W51" s="70"/>
      <c r="X51" s="70"/>
      <c r="Y51" s="22">
        <f t="shared" si="12"/>
        <v>225700</v>
      </c>
      <c r="Z51" s="67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69" t="e">
        <f t="shared" si="14"/>
        <v>#DIV/0!</v>
      </c>
      <c r="L52" s="64">
        <f t="shared" si="11"/>
        <v>0</v>
      </c>
      <c r="M52" s="70"/>
      <c r="N52" s="70"/>
      <c r="O52" s="70"/>
      <c r="P52" s="70"/>
      <c r="Q52" s="70"/>
      <c r="R52" s="70"/>
      <c r="S52" s="70">
        <f>5000-5000</f>
        <v>0</v>
      </c>
      <c r="T52" s="74">
        <f>35000-35000</f>
        <v>0</v>
      </c>
      <c r="U52" s="70"/>
      <c r="V52" s="70">
        <f>10000-10000</f>
        <v>0</v>
      </c>
      <c r="W52" s="70"/>
      <c r="X52" s="70"/>
      <c r="Y52" s="22">
        <f t="shared" si="12"/>
        <v>0</v>
      </c>
      <c r="Z52" s="67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69">
        <f t="shared" si="14"/>
        <v>0</v>
      </c>
      <c r="L53" s="64">
        <f t="shared" si="11"/>
        <v>-160000</v>
      </c>
      <c r="M53" s="70"/>
      <c r="N53" s="70"/>
      <c r="O53" s="70"/>
      <c r="P53" s="70"/>
      <c r="Q53" s="70"/>
      <c r="R53" s="70"/>
      <c r="S53" s="70">
        <v>20000</v>
      </c>
      <c r="T53" s="74">
        <v>140000</v>
      </c>
      <c r="U53" s="70"/>
      <c r="V53" s="70">
        <v>40000</v>
      </c>
      <c r="W53" s="70"/>
      <c r="X53" s="70"/>
      <c r="Y53" s="22">
        <f t="shared" si="12"/>
        <v>200000</v>
      </c>
      <c r="Z53" s="67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69">
        <f t="shared" si="14"/>
        <v>20.714285714285715</v>
      </c>
      <c r="L54" s="64">
        <f t="shared" si="11"/>
        <v>-222000</v>
      </c>
      <c r="M54" s="70"/>
      <c r="N54" s="70"/>
      <c r="O54" s="70"/>
      <c r="P54" s="70"/>
      <c r="Q54" s="70"/>
      <c r="R54" s="70"/>
      <c r="S54" s="70">
        <v>35000</v>
      </c>
      <c r="T54" s="74">
        <v>245000</v>
      </c>
      <c r="U54" s="70"/>
      <c r="V54" s="70">
        <v>70000</v>
      </c>
      <c r="W54" s="70"/>
      <c r="X54" s="70"/>
      <c r="Y54" s="22">
        <f t="shared" si="12"/>
        <v>350000</v>
      </c>
      <c r="Z54" s="67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69">
        <f t="shared" si="14"/>
        <v>17.5</v>
      </c>
      <c r="L55" s="64">
        <f t="shared" si="11"/>
        <v>-66000</v>
      </c>
      <c r="M55" s="70"/>
      <c r="N55" s="70"/>
      <c r="O55" s="70"/>
      <c r="P55" s="70"/>
      <c r="Q55" s="70"/>
      <c r="R55" s="70"/>
      <c r="S55" s="70">
        <v>10000</v>
      </c>
      <c r="T55" s="74">
        <v>70000</v>
      </c>
      <c r="U55" s="70"/>
      <c r="V55" s="70">
        <v>20000</v>
      </c>
      <c r="W55" s="70"/>
      <c r="X55" s="70"/>
      <c r="Y55" s="22">
        <f t="shared" si="12"/>
        <v>100000</v>
      </c>
      <c r="Z55" s="67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69" t="e">
        <f t="shared" si="14"/>
        <v>#DIV/0!</v>
      </c>
      <c r="L56" s="64">
        <f t="shared" si="11"/>
        <v>0</v>
      </c>
      <c r="M56" s="70"/>
      <c r="N56" s="70"/>
      <c r="O56" s="70"/>
      <c r="P56" s="70"/>
      <c r="Q56" s="70"/>
      <c r="R56" s="70"/>
      <c r="S56" s="70">
        <f>10000-10000</f>
        <v>0</v>
      </c>
      <c r="T56" s="74">
        <f>70000-70000</f>
        <v>0</v>
      </c>
      <c r="U56" s="70"/>
      <c r="V56" s="70">
        <f>20000-20000</f>
        <v>0</v>
      </c>
      <c r="W56" s="70"/>
      <c r="X56" s="70"/>
      <c r="Y56" s="22">
        <f t="shared" si="12"/>
        <v>0</v>
      </c>
      <c r="Z56" s="67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69">
        <f t="shared" si="14"/>
        <v>0</v>
      </c>
      <c r="L57" s="64">
        <f t="shared" si="11"/>
        <v>-160000</v>
      </c>
      <c r="M57" s="70"/>
      <c r="N57" s="70"/>
      <c r="O57" s="70"/>
      <c r="P57" s="70"/>
      <c r="Q57" s="70"/>
      <c r="R57" s="70"/>
      <c r="S57" s="70">
        <v>20000</v>
      </c>
      <c r="T57" s="74">
        <v>140000</v>
      </c>
      <c r="U57" s="70"/>
      <c r="V57" s="70">
        <v>40000</v>
      </c>
      <c r="W57" s="70"/>
      <c r="X57" s="70"/>
      <c r="Y57" s="22">
        <f t="shared" si="12"/>
        <v>200000</v>
      </c>
      <c r="Z57" s="67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69" t="e">
        <f t="shared" si="14"/>
        <v>#DIV/0!</v>
      </c>
      <c r="L58" s="64">
        <f t="shared" si="11"/>
        <v>0</v>
      </c>
      <c r="M58" s="70"/>
      <c r="N58" s="70"/>
      <c r="O58" s="70"/>
      <c r="P58" s="70"/>
      <c r="Q58" s="70"/>
      <c r="R58" s="70"/>
      <c r="S58" s="70">
        <f>10000-10000</f>
        <v>0</v>
      </c>
      <c r="T58" s="74">
        <f>70000-70000</f>
        <v>0</v>
      </c>
      <c r="U58" s="70"/>
      <c r="V58" s="70">
        <f>20000-20000</f>
        <v>0</v>
      </c>
      <c r="W58" s="70"/>
      <c r="X58" s="70"/>
      <c r="Y58" s="22">
        <f t="shared" si="12"/>
        <v>0</v>
      </c>
      <c r="Z58" s="67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69">
        <f t="shared" si="14"/>
        <v>24.444444444444443</v>
      </c>
      <c r="L59" s="64">
        <f t="shared" si="11"/>
        <v>-136000</v>
      </c>
      <c r="M59" s="70"/>
      <c r="N59" s="70"/>
      <c r="O59" s="70"/>
      <c r="P59" s="70"/>
      <c r="Q59" s="70"/>
      <c r="R59" s="70"/>
      <c r="S59" s="70">
        <v>10000</v>
      </c>
      <c r="T59" s="74">
        <f>70000+100000</f>
        <v>170000</v>
      </c>
      <c r="U59" s="70"/>
      <c r="V59" s="70">
        <v>20000</v>
      </c>
      <c r="W59" s="70"/>
      <c r="X59" s="70"/>
      <c r="Y59" s="22">
        <f t="shared" si="12"/>
        <v>200000</v>
      </c>
      <c r="Z59" s="67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69">
        <f t="shared" si="14"/>
        <v>58.71212121212122</v>
      </c>
      <c r="L60" s="64">
        <f t="shared" si="11"/>
        <v>-21800</v>
      </c>
      <c r="M60" s="70"/>
      <c r="N60" s="70"/>
      <c r="O60" s="70"/>
      <c r="P60" s="70">
        <f>6600</f>
        <v>6600</v>
      </c>
      <c r="Q60" s="70"/>
      <c r="R60" s="70"/>
      <c r="S60" s="70"/>
      <c r="T60" s="74"/>
      <c r="U60" s="70">
        <f>46200</f>
        <v>46200</v>
      </c>
      <c r="V60" s="70"/>
      <c r="W60" s="70">
        <f>13200</f>
        <v>13200</v>
      </c>
      <c r="X60" s="70"/>
      <c r="Y60" s="22">
        <f t="shared" si="12"/>
        <v>66000</v>
      </c>
      <c r="Z60" s="67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69" t="e">
        <f t="shared" si="14"/>
        <v>#DIV/0!</v>
      </c>
      <c r="L61" s="64">
        <f t="shared" si="11"/>
        <v>0</v>
      </c>
      <c r="M61" s="70"/>
      <c r="N61" s="70"/>
      <c r="O61" s="70"/>
      <c r="P61" s="70"/>
      <c r="Q61" s="70"/>
      <c r="R61" s="70"/>
      <c r="S61" s="70">
        <f>10000-10000</f>
        <v>0</v>
      </c>
      <c r="T61" s="74">
        <f>70000-70000</f>
        <v>0</v>
      </c>
      <c r="U61" s="70"/>
      <c r="V61" s="70">
        <f>20000-20000</f>
        <v>0</v>
      </c>
      <c r="W61" s="70"/>
      <c r="X61" s="70"/>
      <c r="Y61" s="22">
        <f t="shared" si="12"/>
        <v>0</v>
      </c>
      <c r="Z61" s="67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69">
        <f t="shared" si="14"/>
        <v>0</v>
      </c>
      <c r="L62" s="64">
        <f t="shared" si="11"/>
        <v>-32000</v>
      </c>
      <c r="M62" s="70"/>
      <c r="N62" s="70"/>
      <c r="O62" s="70"/>
      <c r="P62" s="70"/>
      <c r="Q62" s="70"/>
      <c r="R62" s="70"/>
      <c r="S62" s="70">
        <v>46000</v>
      </c>
      <c r="T62" s="74">
        <v>322000</v>
      </c>
      <c r="U62" s="70">
        <f>-336000</f>
        <v>-336000</v>
      </c>
      <c r="V62" s="70">
        <f>92000+153000</f>
        <v>245000</v>
      </c>
      <c r="W62" s="70"/>
      <c r="X62" s="70">
        <f>183000</f>
        <v>183000</v>
      </c>
      <c r="Y62" s="22">
        <f t="shared" si="12"/>
        <v>460000</v>
      </c>
      <c r="Z62" s="67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69">
        <f t="shared" si="14"/>
        <v>0</v>
      </c>
      <c r="L63" s="64">
        <f t="shared" si="11"/>
        <v>-150000</v>
      </c>
      <c r="M63" s="70"/>
      <c r="N63" s="70"/>
      <c r="O63" s="70"/>
      <c r="P63" s="70"/>
      <c r="Q63" s="70"/>
      <c r="R63" s="70"/>
      <c r="S63" s="70">
        <v>150000</v>
      </c>
      <c r="T63" s="74"/>
      <c r="U63" s="70"/>
      <c r="V63" s="70"/>
      <c r="W63" s="70"/>
      <c r="X63" s="70"/>
      <c r="Y63" s="22">
        <f t="shared" si="12"/>
        <v>150000</v>
      </c>
      <c r="Z63" s="67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9">
        <f t="shared" si="14"/>
        <v>0</v>
      </c>
      <c r="L64" s="64">
        <f t="shared" si="11"/>
        <v>-150000</v>
      </c>
      <c r="M64" s="70"/>
      <c r="N64" s="70"/>
      <c r="O64" s="70"/>
      <c r="P64" s="70"/>
      <c r="Q64" s="70"/>
      <c r="R64" s="70"/>
      <c r="S64" s="70">
        <v>150000</v>
      </c>
      <c r="T64" s="74"/>
      <c r="U64" s="70"/>
      <c r="V64" s="70"/>
      <c r="W64" s="70"/>
      <c r="X64" s="70"/>
      <c r="Y64" s="22">
        <f t="shared" si="12"/>
        <v>150000</v>
      </c>
      <c r="Z64" s="67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69" t="e">
        <f t="shared" si="14"/>
        <v>#DIV/0!</v>
      </c>
      <c r="L65" s="64">
        <f t="shared" si="11"/>
        <v>0</v>
      </c>
      <c r="M65" s="70"/>
      <c r="N65" s="70"/>
      <c r="O65" s="70"/>
      <c r="P65" s="70">
        <f>4000</f>
        <v>4000</v>
      </c>
      <c r="Q65" s="70"/>
      <c r="R65" s="70"/>
      <c r="S65" s="70"/>
      <c r="T65" s="74">
        <f>-4000</f>
        <v>-4000</v>
      </c>
      <c r="U65" s="70"/>
      <c r="V65" s="70">
        <f>28000-28000</f>
        <v>0</v>
      </c>
      <c r="W65" s="70"/>
      <c r="X65" s="70">
        <f>8000-8000</f>
        <v>0</v>
      </c>
      <c r="Y65" s="22">
        <f t="shared" si="12"/>
        <v>0</v>
      </c>
      <c r="Z65" s="67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69">
        <f t="shared" si="14"/>
        <v>0</v>
      </c>
      <c r="L66" s="64">
        <f t="shared" si="11"/>
        <v>-54000</v>
      </c>
      <c r="M66" s="70"/>
      <c r="N66" s="70"/>
      <c r="O66" s="70"/>
      <c r="P66" s="70"/>
      <c r="Q66" s="70"/>
      <c r="R66" s="70"/>
      <c r="S66" s="70"/>
      <c r="T66" s="74">
        <f>50000+4000</f>
        <v>54000</v>
      </c>
      <c r="U66" s="70"/>
      <c r="V66" s="70">
        <f>28000</f>
        <v>28000</v>
      </c>
      <c r="W66" s="70"/>
      <c r="X66" s="70">
        <f>8000</f>
        <v>8000</v>
      </c>
      <c r="Y66" s="22">
        <f t="shared" si="12"/>
        <v>90000</v>
      </c>
      <c r="Z66" s="67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69">
        <f t="shared" si="14"/>
        <v>0</v>
      </c>
      <c r="L67" s="64">
        <f t="shared" si="11"/>
        <v>-30000</v>
      </c>
      <c r="M67" s="70"/>
      <c r="N67" s="70"/>
      <c r="O67" s="70"/>
      <c r="P67" s="70"/>
      <c r="Q67" s="70"/>
      <c r="R67" s="70"/>
      <c r="S67" s="70"/>
      <c r="T67" s="74">
        <f>30000</f>
        <v>30000</v>
      </c>
      <c r="U67" s="70"/>
      <c r="V67" s="70">
        <f>249054.66+14945.34</f>
        <v>264000</v>
      </c>
      <c r="W67" s="70">
        <f>14945.34-14945.13</f>
        <v>0.21000000000094587</v>
      </c>
      <c r="X67" s="70"/>
      <c r="Y67" s="22">
        <f t="shared" si="12"/>
        <v>294000.21</v>
      </c>
      <c r="Z67" s="67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69">
        <f t="shared" si="14"/>
        <v>4.743833017077799</v>
      </c>
      <c r="L68" s="64">
        <f t="shared" si="11"/>
        <v>-502000</v>
      </c>
      <c r="M68" s="70"/>
      <c r="N68" s="70"/>
      <c r="O68" s="70"/>
      <c r="P68" s="70"/>
      <c r="Q68" s="70"/>
      <c r="R68" s="70">
        <f>34800</f>
        <v>34800</v>
      </c>
      <c r="S68" s="70">
        <f>197200</f>
        <v>197200</v>
      </c>
      <c r="T68" s="74">
        <f>40471.53</f>
        <v>40471.53</v>
      </c>
      <c r="U68" s="70">
        <f>254528.47</f>
        <v>254528.47</v>
      </c>
      <c r="V68" s="70">
        <f>254528.47-254528.47</f>
        <v>0</v>
      </c>
      <c r="W68" s="70"/>
      <c r="X68" s="70">
        <f>232000-232000</f>
        <v>0</v>
      </c>
      <c r="Y68" s="22">
        <f t="shared" si="12"/>
        <v>527000</v>
      </c>
      <c r="Z68" s="67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/>
      <c r="I69" s="42">
        <f t="shared" si="10"/>
        <v>0</v>
      </c>
      <c r="J69" s="69">
        <f t="shared" si="14"/>
        <v>0</v>
      </c>
      <c r="L69" s="64">
        <f t="shared" si="11"/>
        <v>-220000</v>
      </c>
      <c r="M69" s="70"/>
      <c r="N69" s="70"/>
      <c r="O69" s="70">
        <v>22000</v>
      </c>
      <c r="P69" s="70"/>
      <c r="Q69" s="70">
        <f>-22000</f>
        <v>-22000</v>
      </c>
      <c r="R69" s="70">
        <f>33000</f>
        <v>33000</v>
      </c>
      <c r="S69" s="70">
        <f>187000</f>
        <v>187000</v>
      </c>
      <c r="T69" s="74"/>
      <c r="U69" s="70"/>
      <c r="V69" s="70">
        <f>99000-99000</f>
        <v>0</v>
      </c>
      <c r="W69" s="70">
        <f>22000-22000</f>
        <v>0</v>
      </c>
      <c r="X69" s="70">
        <f>99000-99000</f>
        <v>0</v>
      </c>
      <c r="Y69" s="22">
        <f t="shared" si="12"/>
        <v>220000</v>
      </c>
      <c r="Z69" s="67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/>
      <c r="I70" s="42">
        <f t="shared" si="10"/>
        <v>0</v>
      </c>
      <c r="J70" s="69">
        <f t="shared" si="14"/>
        <v>0</v>
      </c>
      <c r="L70" s="64">
        <f t="shared" si="11"/>
        <v>-127000</v>
      </c>
      <c r="M70" s="70"/>
      <c r="N70" s="70"/>
      <c r="O70" s="70">
        <v>12700</v>
      </c>
      <c r="P70" s="70"/>
      <c r="Q70" s="70">
        <v>-12700</v>
      </c>
      <c r="R70" s="70">
        <f>19050</f>
        <v>19050</v>
      </c>
      <c r="S70" s="70">
        <f>107950</f>
        <v>107950</v>
      </c>
      <c r="T70" s="74"/>
      <c r="U70" s="70"/>
      <c r="V70" s="70">
        <f>57150-57150</f>
        <v>0</v>
      </c>
      <c r="W70" s="70">
        <f>12700-12700</f>
        <v>0</v>
      </c>
      <c r="X70" s="70">
        <f>57150-57150</f>
        <v>0</v>
      </c>
      <c r="Y70" s="22">
        <f t="shared" si="12"/>
        <v>127000</v>
      </c>
      <c r="Z70" s="67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/>
      <c r="I71" s="42">
        <f t="shared" si="10"/>
        <v>0</v>
      </c>
      <c r="J71" s="69">
        <f t="shared" si="14"/>
        <v>0</v>
      </c>
      <c r="L71" s="64">
        <f t="shared" si="11"/>
        <v>-240000</v>
      </c>
      <c r="M71" s="70"/>
      <c r="N71" s="70"/>
      <c r="O71" s="70">
        <v>24000</v>
      </c>
      <c r="P71" s="70"/>
      <c r="Q71" s="70">
        <v>-24000</v>
      </c>
      <c r="R71" s="70">
        <f>36000</f>
        <v>36000</v>
      </c>
      <c r="S71" s="70">
        <f>204000</f>
        <v>204000</v>
      </c>
      <c r="T71" s="74"/>
      <c r="U71" s="70"/>
      <c r="V71" s="70">
        <f>108000-108000</f>
        <v>0</v>
      </c>
      <c r="W71" s="70">
        <f>24000-24000</f>
        <v>0</v>
      </c>
      <c r="X71" s="70">
        <f>108000-108000</f>
        <v>0</v>
      </c>
      <c r="Y71" s="22">
        <f t="shared" si="12"/>
        <v>240000</v>
      </c>
      <c r="Z71" s="67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69">
        <f t="shared" si="14"/>
        <v>99.88697238095237</v>
      </c>
      <c r="L72" s="64">
        <f t="shared" si="11"/>
        <v>-1186.7900000000373</v>
      </c>
      <c r="M72" s="70"/>
      <c r="N72" s="70"/>
      <c r="O72" s="70">
        <v>1320000</v>
      </c>
      <c r="P72" s="70">
        <f>-1201000</f>
        <v>-1201000</v>
      </c>
      <c r="Q72" s="70"/>
      <c r="R72" s="70">
        <f>330000+1201000-600000</f>
        <v>931000</v>
      </c>
      <c r="S72" s="70"/>
      <c r="T72" s="74">
        <f>900000-900000</f>
        <v>0</v>
      </c>
      <c r="U72" s="70"/>
      <c r="V72" s="70"/>
      <c r="W72" s="70">
        <f>301000-301000</f>
        <v>0</v>
      </c>
      <c r="X72" s="70">
        <f>600000</f>
        <v>600000</v>
      </c>
      <c r="Y72" s="22">
        <f t="shared" si="12"/>
        <v>1650000</v>
      </c>
      <c r="Z72" s="67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69">
        <f t="shared" si="14"/>
        <v>99.83742509363296</v>
      </c>
      <c r="L73" s="64">
        <f t="shared" si="11"/>
        <v>-868.1500000000233</v>
      </c>
      <c r="M73" s="70"/>
      <c r="N73" s="70"/>
      <c r="O73" s="70">
        <v>48000</v>
      </c>
      <c r="P73" s="70"/>
      <c r="Q73" s="70"/>
      <c r="R73" s="70">
        <f>64800</f>
        <v>64800</v>
      </c>
      <c r="S73" s="70">
        <f>367200</f>
        <v>367200</v>
      </c>
      <c r="T73" s="74"/>
      <c r="U73" s="70">
        <f>54000</f>
        <v>54000</v>
      </c>
      <c r="V73" s="70">
        <f>336000-336000+291000-54000</f>
        <v>237000</v>
      </c>
      <c r="W73" s="70"/>
      <c r="X73" s="70">
        <f>96000-96000</f>
        <v>0</v>
      </c>
      <c r="Y73" s="22">
        <f t="shared" si="12"/>
        <v>771000</v>
      </c>
      <c r="Z73" s="67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69">
        <f t="shared" si="14"/>
        <v>100</v>
      </c>
      <c r="L74" s="64">
        <f t="shared" si="11"/>
        <v>0</v>
      </c>
      <c r="M74" s="70"/>
      <c r="N74" s="70"/>
      <c r="O74" s="70">
        <v>11600</v>
      </c>
      <c r="P74" s="70"/>
      <c r="Q74" s="70">
        <f>-11600</f>
        <v>-11600</v>
      </c>
      <c r="R74" s="70"/>
      <c r="S74" s="70"/>
      <c r="T74" s="74"/>
      <c r="U74" s="70">
        <f>53000</f>
        <v>53000</v>
      </c>
      <c r="V74" s="70">
        <f>81200-53000</f>
        <v>28200</v>
      </c>
      <c r="W74" s="70">
        <f>11600</f>
        <v>11600</v>
      </c>
      <c r="X74" s="70">
        <v>23200</v>
      </c>
      <c r="Y74" s="22">
        <f t="shared" si="12"/>
        <v>116000</v>
      </c>
      <c r="Z74" s="67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/>
      <c r="I75" s="42">
        <f t="shared" si="10"/>
        <v>0</v>
      </c>
      <c r="J75" s="69">
        <f t="shared" si="14"/>
        <v>0</v>
      </c>
      <c r="L75" s="64">
        <f t="shared" si="11"/>
        <v>-116000</v>
      </c>
      <c r="M75" s="70"/>
      <c r="N75" s="70"/>
      <c r="O75" s="70">
        <v>11600</v>
      </c>
      <c r="P75" s="70"/>
      <c r="Q75" s="70">
        <f>-11600</f>
        <v>-11600</v>
      </c>
      <c r="R75" s="70">
        <f>17400</f>
        <v>17400</v>
      </c>
      <c r="S75" s="70">
        <f>98600</f>
        <v>98600</v>
      </c>
      <c r="T75" s="74"/>
      <c r="U75" s="70"/>
      <c r="V75" s="70">
        <f>52200-52200</f>
        <v>0</v>
      </c>
      <c r="W75" s="70">
        <f>11600-11600</f>
        <v>0</v>
      </c>
      <c r="X75" s="70">
        <f>52200-52200</f>
        <v>0</v>
      </c>
      <c r="Y75" s="22">
        <f t="shared" si="12"/>
        <v>116000</v>
      </c>
      <c r="Z75" s="67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69" t="e">
        <f t="shared" si="14"/>
        <v>#DIV/0!</v>
      </c>
      <c r="L76" s="64">
        <f t="shared" si="11"/>
        <v>0</v>
      </c>
      <c r="M76" s="70"/>
      <c r="N76" s="70"/>
      <c r="O76" s="70">
        <v>5000</v>
      </c>
      <c r="P76" s="70"/>
      <c r="Q76" s="70">
        <f>-5000</f>
        <v>-5000</v>
      </c>
      <c r="R76" s="70"/>
      <c r="S76" s="70"/>
      <c r="T76" s="74"/>
      <c r="U76" s="70"/>
      <c r="V76" s="70">
        <v>35000</v>
      </c>
      <c r="W76" s="70">
        <f>5000</f>
        <v>5000</v>
      </c>
      <c r="X76" s="70">
        <v>10000</v>
      </c>
      <c r="Y76" s="22">
        <f t="shared" si="12"/>
        <v>50000</v>
      </c>
      <c r="Z76" s="67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69" t="e">
        <f t="shared" si="14"/>
        <v>#DIV/0!</v>
      </c>
      <c r="L77" s="64">
        <f t="shared" si="11"/>
        <v>0</v>
      </c>
      <c r="M77" s="70"/>
      <c r="N77" s="70"/>
      <c r="O77" s="70">
        <v>11600</v>
      </c>
      <c r="P77" s="70"/>
      <c r="Q77" s="70">
        <v>-11600</v>
      </c>
      <c r="R77" s="70"/>
      <c r="S77" s="70"/>
      <c r="T77" s="74"/>
      <c r="U77" s="70"/>
      <c r="V77" s="70">
        <f>81200-81200</f>
        <v>0</v>
      </c>
      <c r="W77" s="70">
        <f>11600-11600</f>
        <v>0</v>
      </c>
      <c r="X77" s="70">
        <f>23200-23200</f>
        <v>0</v>
      </c>
      <c r="Y77" s="22">
        <f t="shared" si="12"/>
        <v>0</v>
      </c>
      <c r="Z77" s="67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69" t="e">
        <f t="shared" si="14"/>
        <v>#DIV/0!</v>
      </c>
      <c r="L78" s="64">
        <f t="shared" si="11"/>
        <v>0</v>
      </c>
      <c r="M78" s="70"/>
      <c r="N78" s="70"/>
      <c r="O78" s="70">
        <v>26300</v>
      </c>
      <c r="P78" s="70"/>
      <c r="Q78" s="70">
        <v>-26300</v>
      </c>
      <c r="R78" s="70"/>
      <c r="S78" s="70"/>
      <c r="T78" s="74"/>
      <c r="U78" s="70"/>
      <c r="V78" s="70">
        <v>184100</v>
      </c>
      <c r="W78" s="70">
        <f>26300</f>
        <v>26300</v>
      </c>
      <c r="X78" s="70">
        <v>52600</v>
      </c>
      <c r="Y78" s="22">
        <f t="shared" si="12"/>
        <v>263000</v>
      </c>
      <c r="Z78" s="67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69" t="e">
        <f t="shared" si="14"/>
        <v>#DIV/0!</v>
      </c>
      <c r="L79" s="64">
        <f t="shared" si="11"/>
        <v>0</v>
      </c>
      <c r="M79" s="70"/>
      <c r="N79" s="70"/>
      <c r="O79" s="70">
        <v>11800</v>
      </c>
      <c r="P79" s="70"/>
      <c r="Q79" s="70">
        <v>-11800</v>
      </c>
      <c r="R79" s="70"/>
      <c r="S79" s="70"/>
      <c r="T79" s="74"/>
      <c r="U79" s="70"/>
      <c r="V79" s="70">
        <v>82600</v>
      </c>
      <c r="W79" s="70">
        <f>11800</f>
        <v>11800</v>
      </c>
      <c r="X79" s="70">
        <v>23600</v>
      </c>
      <c r="Y79" s="22">
        <f t="shared" si="12"/>
        <v>118000</v>
      </c>
      <c r="Z79" s="67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/>
      <c r="I80" s="42">
        <f t="shared" si="10"/>
        <v>0</v>
      </c>
      <c r="J80" s="69">
        <f t="shared" si="14"/>
        <v>0</v>
      </c>
      <c r="L80" s="64">
        <f t="shared" si="11"/>
        <v>-232000</v>
      </c>
      <c r="M80" s="70"/>
      <c r="N80" s="70"/>
      <c r="O80" s="70">
        <v>23200</v>
      </c>
      <c r="P80" s="70"/>
      <c r="Q80" s="70">
        <v>-23200</v>
      </c>
      <c r="R80" s="70">
        <f>34800</f>
        <v>34800</v>
      </c>
      <c r="S80" s="70">
        <f>197200</f>
        <v>197200</v>
      </c>
      <c r="T80" s="74"/>
      <c r="U80" s="70"/>
      <c r="V80" s="70">
        <f>162400-162400</f>
        <v>0</v>
      </c>
      <c r="W80" s="70">
        <f>23200-23200</f>
        <v>0</v>
      </c>
      <c r="X80" s="70">
        <f>46400-46400</f>
        <v>0</v>
      </c>
      <c r="Y80" s="22">
        <f t="shared" si="12"/>
        <v>232000</v>
      </c>
      <c r="Z80" s="67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69">
        <f t="shared" si="14"/>
        <v>9.884564285714285</v>
      </c>
      <c r="L81" s="64">
        <f t="shared" si="11"/>
        <v>-126161.61</v>
      </c>
      <c r="M81" s="70"/>
      <c r="N81" s="70"/>
      <c r="O81" s="70">
        <v>15000</v>
      </c>
      <c r="P81" s="70"/>
      <c r="Q81" s="70">
        <v>-15000</v>
      </c>
      <c r="R81" s="70">
        <f>22500</f>
        <v>22500</v>
      </c>
      <c r="S81" s="70">
        <f>127500</f>
        <v>127500</v>
      </c>
      <c r="T81" s="74">
        <f>-10000</f>
        <v>-10000</v>
      </c>
      <c r="U81" s="70"/>
      <c r="V81" s="70">
        <f>105000-105000</f>
        <v>0</v>
      </c>
      <c r="W81" s="70">
        <f>15000-15000</f>
        <v>0</v>
      </c>
      <c r="X81" s="70">
        <f>30000-30000</f>
        <v>0</v>
      </c>
      <c r="Y81" s="22">
        <f t="shared" si="12"/>
        <v>140000</v>
      </c>
      <c r="Z81" s="67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69" t="e">
        <f t="shared" si="14"/>
        <v>#DIV/0!</v>
      </c>
      <c r="L82" s="64">
        <f t="shared" si="11"/>
        <v>0</v>
      </c>
      <c r="M82" s="70"/>
      <c r="N82" s="70"/>
      <c r="O82" s="70">
        <v>35000</v>
      </c>
      <c r="P82" s="70"/>
      <c r="Q82" s="70">
        <v>-35000</v>
      </c>
      <c r="R82" s="70"/>
      <c r="S82" s="70"/>
      <c r="T82" s="74"/>
      <c r="U82" s="70"/>
      <c r="V82" s="70">
        <v>157500</v>
      </c>
      <c r="W82" s="70">
        <f>35000</f>
        <v>35000</v>
      </c>
      <c r="X82" s="70">
        <v>157500</v>
      </c>
      <c r="Y82" s="22">
        <f t="shared" si="12"/>
        <v>350000</v>
      </c>
      <c r="Z82" s="67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69" t="e">
        <f t="shared" si="14"/>
        <v>#DIV/0!</v>
      </c>
      <c r="L83" s="64">
        <f t="shared" si="11"/>
        <v>0</v>
      </c>
      <c r="M83" s="70"/>
      <c r="N83" s="70"/>
      <c r="O83" s="70">
        <v>13000</v>
      </c>
      <c r="P83" s="70"/>
      <c r="Q83" s="70">
        <v>-13000</v>
      </c>
      <c r="R83" s="70">
        <f>19500</f>
        <v>19500</v>
      </c>
      <c r="S83" s="70">
        <f>110500</f>
        <v>110500</v>
      </c>
      <c r="T83" s="74">
        <f>-130000</f>
        <v>-130000</v>
      </c>
      <c r="U83" s="70"/>
      <c r="V83" s="70">
        <f>91000-91000</f>
        <v>0</v>
      </c>
      <c r="W83" s="70">
        <f>13000-13000</f>
        <v>0</v>
      </c>
      <c r="X83" s="70">
        <f>26000-26000</f>
        <v>0</v>
      </c>
      <c r="Y83" s="22">
        <f t="shared" si="12"/>
        <v>0</v>
      </c>
      <c r="Z83" s="67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69">
        <f t="shared" si="14"/>
        <v>11.406844106463879</v>
      </c>
      <c r="L84" s="64">
        <f t="shared" si="11"/>
        <v>-233000</v>
      </c>
      <c r="M84" s="70"/>
      <c r="N84" s="70"/>
      <c r="O84" s="70">
        <v>13300</v>
      </c>
      <c r="P84" s="70"/>
      <c r="Q84" s="70">
        <v>-13300</v>
      </c>
      <c r="R84" s="70">
        <f>19950</f>
        <v>19950</v>
      </c>
      <c r="S84" s="70">
        <f>113050</f>
        <v>113050</v>
      </c>
      <c r="T84" s="74">
        <f>130000</f>
        <v>130000</v>
      </c>
      <c r="U84" s="70"/>
      <c r="V84" s="70">
        <f>93100-93100</f>
        <v>0</v>
      </c>
      <c r="W84" s="70">
        <f>13300-13300</f>
        <v>0</v>
      </c>
      <c r="X84" s="70">
        <f>26600-26600</f>
        <v>0</v>
      </c>
      <c r="Y84" s="22">
        <f t="shared" si="12"/>
        <v>263000</v>
      </c>
      <c r="Z84" s="67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69">
        <f t="shared" si="14"/>
        <v>100</v>
      </c>
      <c r="L85" s="64">
        <f t="shared" si="11"/>
        <v>0</v>
      </c>
      <c r="M85" s="70"/>
      <c r="N85" s="70"/>
      <c r="O85" s="70">
        <v>13300</v>
      </c>
      <c r="P85" s="70"/>
      <c r="Q85" s="70">
        <v>-13300</v>
      </c>
      <c r="R85" s="70"/>
      <c r="S85" s="70"/>
      <c r="T85" s="74"/>
      <c r="U85" s="70">
        <f>23000</f>
        <v>23000</v>
      </c>
      <c r="V85" s="70">
        <f>93100-23000</f>
        <v>70100</v>
      </c>
      <c r="W85" s="70">
        <f>13300</f>
        <v>13300</v>
      </c>
      <c r="X85" s="70">
        <v>26600</v>
      </c>
      <c r="Y85" s="22">
        <f t="shared" si="12"/>
        <v>133000</v>
      </c>
      <c r="Z85" s="67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69">
        <f t="shared" si="14"/>
        <v>100</v>
      </c>
      <c r="L86" s="64">
        <f t="shared" si="11"/>
        <v>0</v>
      </c>
      <c r="M86" s="70"/>
      <c r="N86" s="70"/>
      <c r="O86" s="70">
        <v>11600</v>
      </c>
      <c r="P86" s="70"/>
      <c r="Q86" s="70">
        <v>-11600</v>
      </c>
      <c r="R86" s="70"/>
      <c r="S86" s="70"/>
      <c r="T86" s="74"/>
      <c r="U86" s="70">
        <f>23000</f>
        <v>23000</v>
      </c>
      <c r="V86" s="70">
        <f>81200-23000</f>
        <v>58200</v>
      </c>
      <c r="W86" s="70">
        <f>11600</f>
        <v>11600</v>
      </c>
      <c r="X86" s="70">
        <v>23200</v>
      </c>
      <c r="Y86" s="22">
        <f t="shared" si="12"/>
        <v>116000</v>
      </c>
      <c r="Z86" s="67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69">
        <f t="shared" si="14"/>
        <v>37.76971749804544</v>
      </c>
      <c r="L87" s="64">
        <f t="shared" si="11"/>
        <v>-520590.48999999993</v>
      </c>
      <c r="M87" s="70"/>
      <c r="N87" s="70"/>
      <c r="O87" s="70">
        <v>39400</v>
      </c>
      <c r="P87" s="70"/>
      <c r="Q87" s="70"/>
      <c r="R87" s="70">
        <f>53190</f>
        <v>53190</v>
      </c>
      <c r="S87" s="70">
        <f>301410</f>
        <v>301410</v>
      </c>
      <c r="T87" s="11"/>
      <c r="U87" s="70">
        <f>50000+392554.92</f>
        <v>442554.92</v>
      </c>
      <c r="V87" s="70">
        <f>275800-275800+313445.08</f>
        <v>313445.08</v>
      </c>
      <c r="W87" s="70"/>
      <c r="X87" s="70">
        <f>78800-78800</f>
        <v>0</v>
      </c>
      <c r="Y87" s="22">
        <f t="shared" si="12"/>
        <v>1150000</v>
      </c>
      <c r="Z87" s="67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69" t="e">
        <f t="shared" si="14"/>
        <v>#DIV/0!</v>
      </c>
      <c r="L88" s="64">
        <f t="shared" si="11"/>
        <v>0</v>
      </c>
      <c r="M88" s="70"/>
      <c r="N88" s="70"/>
      <c r="O88" s="70"/>
      <c r="P88" s="70"/>
      <c r="Q88" s="70"/>
      <c r="R88" s="70">
        <f>50000</f>
        <v>50000</v>
      </c>
      <c r="S88" s="70">
        <v>-50000</v>
      </c>
      <c r="T88" s="74"/>
      <c r="U88" s="70"/>
      <c r="V88" s="70"/>
      <c r="W88" s="70"/>
      <c r="X88" s="70"/>
      <c r="Y88" s="22">
        <f t="shared" si="12"/>
        <v>0</v>
      </c>
      <c r="Z88" s="67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69" t="e">
        <f t="shared" si="14"/>
        <v>#DIV/0!</v>
      </c>
      <c r="L89" s="64">
        <f t="shared" si="11"/>
        <v>0</v>
      </c>
      <c r="M89" s="70"/>
      <c r="N89" s="70"/>
      <c r="O89" s="70">
        <v>18000</v>
      </c>
      <c r="P89" s="70"/>
      <c r="Q89" s="70">
        <v>-18000</v>
      </c>
      <c r="R89" s="70"/>
      <c r="S89" s="70"/>
      <c r="T89" s="74"/>
      <c r="U89" s="70"/>
      <c r="V89" s="70">
        <v>126000</v>
      </c>
      <c r="W89" s="70">
        <v>18000</v>
      </c>
      <c r="X89" s="70">
        <v>36000</v>
      </c>
      <c r="Y89" s="22">
        <f t="shared" si="12"/>
        <v>180000</v>
      </c>
      <c r="Z89" s="67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69" t="e">
        <f t="shared" si="14"/>
        <v>#DIV/0!</v>
      </c>
      <c r="L90" s="64">
        <f t="shared" si="11"/>
        <v>0</v>
      </c>
      <c r="M90" s="70"/>
      <c r="N90" s="70"/>
      <c r="O90" s="70">
        <v>10600</v>
      </c>
      <c r="P90" s="70"/>
      <c r="Q90" s="70">
        <v>-10600</v>
      </c>
      <c r="R90" s="70"/>
      <c r="S90" s="70"/>
      <c r="T90" s="74"/>
      <c r="U90" s="70"/>
      <c r="V90" s="70">
        <v>74200</v>
      </c>
      <c r="W90" s="70">
        <v>10600</v>
      </c>
      <c r="X90" s="70">
        <v>21200</v>
      </c>
      <c r="Y90" s="22">
        <f t="shared" si="12"/>
        <v>106000</v>
      </c>
      <c r="Z90" s="67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69">
        <f t="shared" si="14"/>
        <v>0</v>
      </c>
      <c r="L91" s="64">
        <f aca="true" t="shared" si="15" ref="L91:L144">H91-(M91+N91+O91+P91+Q91+R91+S91+T91+U91)</f>
        <v>-350000</v>
      </c>
      <c r="M91" s="70"/>
      <c r="N91" s="70"/>
      <c r="O91" s="70"/>
      <c r="P91" s="70"/>
      <c r="Q91" s="70"/>
      <c r="R91" s="70">
        <v>350000</v>
      </c>
      <c r="S91" s="70"/>
      <c r="T91" s="74"/>
      <c r="U91" s="70">
        <f>750000-750000</f>
        <v>0</v>
      </c>
      <c r="V91" s="70"/>
      <c r="W91" s="70"/>
      <c r="X91" s="70">
        <f>350000</f>
        <v>350000</v>
      </c>
      <c r="Y91" s="22">
        <f t="shared" si="12"/>
        <v>700000</v>
      </c>
      <c r="Z91" s="67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>
        <f>19000</f>
        <v>19000</v>
      </c>
      <c r="I92" s="41">
        <f aca="true" t="shared" si="17" ref="I92:I145">H92/D92*100</f>
        <v>8.189655172413794</v>
      </c>
      <c r="J92" s="69">
        <f t="shared" si="14"/>
        <v>9.634888438133874</v>
      </c>
      <c r="L92" s="64">
        <f t="shared" si="15"/>
        <v>-178200</v>
      </c>
      <c r="M92" s="70"/>
      <c r="N92" s="70"/>
      <c r="O92" s="70">
        <v>23200</v>
      </c>
      <c r="P92" s="70"/>
      <c r="Q92" s="70">
        <v>-23200</v>
      </c>
      <c r="R92" s="70">
        <f>34800-34800</f>
        <v>0</v>
      </c>
      <c r="S92" s="70">
        <f>197200</f>
        <v>197200</v>
      </c>
      <c r="T92" s="74"/>
      <c r="U92" s="70"/>
      <c r="V92" s="70">
        <f>162400-162400</f>
        <v>0</v>
      </c>
      <c r="W92" s="70">
        <f>23200-23200</f>
        <v>0</v>
      </c>
      <c r="X92" s="70">
        <f>46400-46400+34800</f>
        <v>34800</v>
      </c>
      <c r="Y92" s="22">
        <f t="shared" si="12"/>
        <v>232000</v>
      </c>
      <c r="Z92" s="67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69">
        <f t="shared" si="14"/>
        <v>0</v>
      </c>
      <c r="L93" s="64">
        <f t="shared" si="15"/>
        <v>-206766.53</v>
      </c>
      <c r="M93" s="70"/>
      <c r="N93" s="70"/>
      <c r="O93" s="70">
        <v>60300</v>
      </c>
      <c r="P93" s="70"/>
      <c r="Q93" s="70"/>
      <c r="R93" s="70">
        <f>81405-141705</f>
        <v>-60300</v>
      </c>
      <c r="S93" s="70">
        <f>461295-360000</f>
        <v>101295</v>
      </c>
      <c r="T93" s="74">
        <f>271350-271350+360000</f>
        <v>360000</v>
      </c>
      <c r="U93" s="70">
        <f>-254528.47</f>
        <v>-254528.47</v>
      </c>
      <c r="V93" s="70">
        <f>254528.47</f>
        <v>254528.47</v>
      </c>
      <c r="W93" s="70">
        <f>271350-271350</f>
        <v>0</v>
      </c>
      <c r="X93" s="70">
        <f>141705</f>
        <v>141705</v>
      </c>
      <c r="Y93" s="22">
        <f aca="true" t="shared" si="18" ref="Y93:Y145">SUM(M93:X93)</f>
        <v>603000</v>
      </c>
      <c r="Z93" s="67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69">
        <f t="shared" si="14"/>
        <v>15.55177269192779</v>
      </c>
      <c r="L94" s="64">
        <f t="shared" si="15"/>
        <v>-200915</v>
      </c>
      <c r="M94" s="70"/>
      <c r="N94" s="70"/>
      <c r="O94" s="70">
        <v>31100</v>
      </c>
      <c r="P94" s="70"/>
      <c r="Q94" s="70"/>
      <c r="R94" s="70">
        <f>41985-73085</f>
        <v>-31100</v>
      </c>
      <c r="S94" s="70">
        <f>237915-180000</f>
        <v>57915</v>
      </c>
      <c r="T94" s="74">
        <f>139950-139950+180000</f>
        <v>180000</v>
      </c>
      <c r="U94" s="70"/>
      <c r="V94" s="70"/>
      <c r="W94" s="70">
        <f>139950-139950</f>
        <v>0</v>
      </c>
      <c r="X94" s="70">
        <f>73085</f>
        <v>73085</v>
      </c>
      <c r="Y94" s="22">
        <f t="shared" si="18"/>
        <v>311000</v>
      </c>
      <c r="Z94" s="67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69">
        <f t="shared" si="14"/>
        <v>0</v>
      </c>
      <c r="L95" s="64">
        <f t="shared" si="15"/>
        <v>-450000</v>
      </c>
      <c r="M95" s="70"/>
      <c r="N95" s="71">
        <v>450000</v>
      </c>
      <c r="O95" s="70"/>
      <c r="P95" s="70"/>
      <c r="Q95" s="70"/>
      <c r="R95" s="70"/>
      <c r="S95" s="70"/>
      <c r="T95" s="74"/>
      <c r="U95" s="70"/>
      <c r="V95" s="70"/>
      <c r="W95" s="70"/>
      <c r="X95" s="70"/>
      <c r="Y95" s="22">
        <f t="shared" si="18"/>
        <v>450000</v>
      </c>
      <c r="Z95" s="67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69">
        <f aca="true" t="shared" si="19" ref="J96:J145">H96/(N96+O96+P96+Q96+R96+S96+T96+U96)*100</f>
        <v>9.583333333333334</v>
      </c>
      <c r="L96" s="64">
        <f t="shared" si="15"/>
        <v>-217000</v>
      </c>
      <c r="M96" s="70"/>
      <c r="N96" s="71">
        <v>240000</v>
      </c>
      <c r="O96" s="70"/>
      <c r="P96" s="70"/>
      <c r="Q96" s="70"/>
      <c r="R96" s="70"/>
      <c r="S96" s="70"/>
      <c r="T96" s="74"/>
      <c r="U96" s="70"/>
      <c r="V96" s="70"/>
      <c r="W96" s="70"/>
      <c r="X96" s="70"/>
      <c r="Y96" s="22">
        <f t="shared" si="18"/>
        <v>240000</v>
      </c>
      <c r="Z96" s="67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69" t="e">
        <f t="shared" si="19"/>
        <v>#DIV/0!</v>
      </c>
      <c r="L97" s="64">
        <f t="shared" si="15"/>
        <v>0</v>
      </c>
      <c r="M97" s="70"/>
      <c r="N97" s="70"/>
      <c r="O97" s="70"/>
      <c r="P97" s="70">
        <f>5000</f>
        <v>5000</v>
      </c>
      <c r="Q97" s="70"/>
      <c r="R97" s="70"/>
      <c r="S97" s="70">
        <f>-5000</f>
        <v>-5000</v>
      </c>
      <c r="T97" s="74"/>
      <c r="U97" s="70">
        <f>35000-35000</f>
        <v>0</v>
      </c>
      <c r="V97" s="70"/>
      <c r="W97" s="70">
        <f>10000-10000</f>
        <v>0</v>
      </c>
      <c r="X97" s="70"/>
      <c r="Y97" s="22">
        <f t="shared" si="18"/>
        <v>0</v>
      </c>
      <c r="Z97" s="67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69" t="e">
        <f t="shared" si="19"/>
        <v>#DIV/0!</v>
      </c>
      <c r="L98" s="64">
        <f t="shared" si="15"/>
        <v>0</v>
      </c>
      <c r="M98" s="70"/>
      <c r="N98" s="70"/>
      <c r="O98" s="70">
        <v>58000</v>
      </c>
      <c r="P98" s="70"/>
      <c r="Q98" s="70">
        <v>-58000</v>
      </c>
      <c r="R98" s="70"/>
      <c r="S98" s="70"/>
      <c r="T98" s="74"/>
      <c r="U98" s="70">
        <f>406000-406000</f>
        <v>0</v>
      </c>
      <c r="V98" s="70">
        <f>406000</f>
        <v>406000</v>
      </c>
      <c r="W98" s="70">
        <v>174000</v>
      </c>
      <c r="X98" s="70"/>
      <c r="Y98" s="22">
        <f t="shared" si="18"/>
        <v>580000</v>
      </c>
      <c r="Z98" s="67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69" t="e">
        <f t="shared" si="19"/>
        <v>#DIV/0!</v>
      </c>
      <c r="L99" s="64">
        <f t="shared" si="15"/>
        <v>0</v>
      </c>
      <c r="M99" s="70"/>
      <c r="N99" s="70"/>
      <c r="O99" s="70">
        <v>13300</v>
      </c>
      <c r="P99" s="70"/>
      <c r="Q99" s="70">
        <v>-13300</v>
      </c>
      <c r="R99" s="70">
        <f>19950</f>
        <v>19950</v>
      </c>
      <c r="S99" s="70">
        <f>113050</f>
        <v>113050</v>
      </c>
      <c r="T99" s="74">
        <f>-133000</f>
        <v>-133000</v>
      </c>
      <c r="U99" s="70">
        <f>93100-93100</f>
        <v>0</v>
      </c>
      <c r="V99" s="70"/>
      <c r="W99" s="70">
        <f>39900-39900</f>
        <v>0</v>
      </c>
      <c r="X99" s="70"/>
      <c r="Y99" s="22">
        <f t="shared" si="18"/>
        <v>0</v>
      </c>
      <c r="Z99" s="67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69">
        <f t="shared" si="19"/>
        <v>0</v>
      </c>
      <c r="L100" s="64">
        <f t="shared" si="15"/>
        <v>-93100</v>
      </c>
      <c r="M100" s="70"/>
      <c r="N100" s="70"/>
      <c r="O100" s="70">
        <v>13300</v>
      </c>
      <c r="P100" s="70"/>
      <c r="Q100" s="70">
        <v>-13300</v>
      </c>
      <c r="R100" s="70"/>
      <c r="S100" s="70"/>
      <c r="T100" s="74"/>
      <c r="U100" s="70">
        <v>93100</v>
      </c>
      <c r="V100" s="70"/>
      <c r="W100" s="70">
        <v>39900</v>
      </c>
      <c r="X100" s="70"/>
      <c r="Y100" s="22">
        <f t="shared" si="18"/>
        <v>133000</v>
      </c>
      <c r="Z100" s="67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69" t="e">
        <f t="shared" si="19"/>
        <v>#DIV/0!</v>
      </c>
      <c r="L101" s="64">
        <f t="shared" si="15"/>
        <v>0</v>
      </c>
      <c r="M101" s="70"/>
      <c r="N101" s="70"/>
      <c r="O101" s="70">
        <v>23200</v>
      </c>
      <c r="P101" s="70"/>
      <c r="Q101" s="70">
        <v>-23200</v>
      </c>
      <c r="R101" s="70"/>
      <c r="S101" s="70"/>
      <c r="T101" s="74"/>
      <c r="U101" s="70">
        <f>162400-162400</f>
        <v>0</v>
      </c>
      <c r="V101" s="70"/>
      <c r="W101" s="70">
        <f>69600+75400</f>
        <v>145000</v>
      </c>
      <c r="X101" s="70">
        <f>87000</f>
        <v>87000</v>
      </c>
      <c r="Y101" s="22">
        <f t="shared" si="18"/>
        <v>232000</v>
      </c>
      <c r="Z101" s="67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69">
        <f t="shared" si="19"/>
        <v>20.408163265306122</v>
      </c>
      <c r="L102" s="64">
        <f t="shared" si="15"/>
        <v>-74100</v>
      </c>
      <c r="M102" s="70"/>
      <c r="N102" s="70"/>
      <c r="O102" s="70">
        <v>13300</v>
      </c>
      <c r="P102" s="70"/>
      <c r="Q102" s="70">
        <v>-13300</v>
      </c>
      <c r="R102" s="70"/>
      <c r="S102" s="70"/>
      <c r="T102" s="74"/>
      <c r="U102" s="70">
        <v>93100</v>
      </c>
      <c r="V102" s="70"/>
      <c r="W102" s="70">
        <v>39900</v>
      </c>
      <c r="X102" s="70"/>
      <c r="Y102" s="22">
        <f t="shared" si="18"/>
        <v>133000</v>
      </c>
      <c r="Z102" s="67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69">
        <f t="shared" si="19"/>
        <v>99.9999983673507</v>
      </c>
      <c r="L103" s="64">
        <f t="shared" si="15"/>
        <v>-0.010000000009313226</v>
      </c>
      <c r="M103" s="70"/>
      <c r="N103" s="70"/>
      <c r="O103" s="70">
        <v>76700</v>
      </c>
      <c r="P103" s="70">
        <f>400000-9653</f>
        <v>390347</v>
      </c>
      <c r="Q103" s="70">
        <v>147609</v>
      </c>
      <c r="R103" s="70">
        <f>-2154.59</f>
        <v>-2154.59</v>
      </c>
      <c r="S103" s="70"/>
      <c r="T103" s="74"/>
      <c r="U103" s="70">
        <f>536900-400000-67081-69819</f>
        <v>0</v>
      </c>
      <c r="V103" s="70"/>
      <c r="W103" s="70">
        <f>153400-75166-77790</f>
        <v>444</v>
      </c>
      <c r="X103" s="70">
        <f>2154.59</f>
        <v>2154.59</v>
      </c>
      <c r="Y103" s="22">
        <f t="shared" si="18"/>
        <v>615100</v>
      </c>
      <c r="Z103" s="67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69">
        <f t="shared" si="19"/>
        <v>99.60153978814587</v>
      </c>
      <c r="L104" s="64">
        <f t="shared" si="15"/>
        <v>-2154.600000000093</v>
      </c>
      <c r="M104" s="70"/>
      <c r="N104" s="70"/>
      <c r="O104" s="70">
        <v>97900</v>
      </c>
      <c r="P104" s="70">
        <v>360000</v>
      </c>
      <c r="Q104" s="70">
        <v>132732</v>
      </c>
      <c r="R104" s="70">
        <f>-52055.07</f>
        <v>-52055.07</v>
      </c>
      <c r="S104" s="70"/>
      <c r="T104" s="74"/>
      <c r="U104" s="70">
        <f>685300-360000-132732-190413.4</f>
        <v>2154.600000000006</v>
      </c>
      <c r="V104" s="70"/>
      <c r="W104" s="70">
        <f>195800-195800</f>
        <v>0</v>
      </c>
      <c r="X104" s="70">
        <f>52055.07-52055.07</f>
        <v>0</v>
      </c>
      <c r="Y104" s="22">
        <f t="shared" si="18"/>
        <v>540731.53</v>
      </c>
      <c r="Z104" s="67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69">
        <f t="shared" si="19"/>
        <v>75.63502432244614</v>
      </c>
      <c r="L105" s="64">
        <f t="shared" si="15"/>
        <v>-140244.8</v>
      </c>
      <c r="M105" s="70"/>
      <c r="N105" s="70"/>
      <c r="O105" s="70">
        <v>56000</v>
      </c>
      <c r="P105" s="70">
        <f>504000-67000</f>
        <v>437000</v>
      </c>
      <c r="Q105" s="70">
        <v>-280341</v>
      </c>
      <c r="R105" s="70">
        <f>42051.15-50400</f>
        <v>-8348.849999999999</v>
      </c>
      <c r="S105" s="70">
        <f>238289.85</f>
        <v>238289.85</v>
      </c>
      <c r="T105" s="74">
        <f>133000</f>
        <v>133000</v>
      </c>
      <c r="U105" s="70">
        <f>392000-392000+202551-202551</f>
        <v>0</v>
      </c>
      <c r="V105" s="70">
        <f>28400</f>
        <v>28400</v>
      </c>
      <c r="W105" s="70">
        <f>112000-112000+77790-77790</f>
        <v>0</v>
      </c>
      <c r="X105" s="70">
        <f>22000</f>
        <v>22000</v>
      </c>
      <c r="Y105" s="22">
        <f t="shared" si="18"/>
        <v>626000</v>
      </c>
      <c r="Z105" s="67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69">
        <f t="shared" si="19"/>
        <v>0</v>
      </c>
      <c r="L106" s="64">
        <f t="shared" si="15"/>
        <v>-80000</v>
      </c>
      <c r="M106" s="70"/>
      <c r="N106" s="70"/>
      <c r="O106" s="70"/>
      <c r="P106" s="70"/>
      <c r="Q106" s="70"/>
      <c r="R106" s="70"/>
      <c r="S106" s="70">
        <v>10000</v>
      </c>
      <c r="T106" s="74">
        <v>70000</v>
      </c>
      <c r="U106" s="70"/>
      <c r="V106" s="70">
        <v>20000</v>
      </c>
      <c r="W106" s="70"/>
      <c r="X106" s="70"/>
      <c r="Y106" s="22">
        <f>SUM(M106:X106)</f>
        <v>100000</v>
      </c>
      <c r="Z106" s="67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69" t="e">
        <f t="shared" si="19"/>
        <v>#DIV/0!</v>
      </c>
      <c r="L107" s="64">
        <f t="shared" si="15"/>
        <v>0</v>
      </c>
      <c r="M107" s="70"/>
      <c r="N107" s="71">
        <v>134745</v>
      </c>
      <c r="O107" s="70"/>
      <c r="P107" s="70"/>
      <c r="Q107" s="70"/>
      <c r="R107" s="70"/>
      <c r="S107" s="70"/>
      <c r="T107" s="74">
        <f>-134745</f>
        <v>-134745</v>
      </c>
      <c r="U107" s="70"/>
      <c r="V107" s="70"/>
      <c r="W107" s="70"/>
      <c r="X107" s="70"/>
      <c r="Y107" s="22">
        <f t="shared" si="18"/>
        <v>0</v>
      </c>
      <c r="Z107" s="67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69">
        <f t="shared" si="19"/>
        <v>67.5113624034045</v>
      </c>
      <c r="L108" s="64">
        <f t="shared" si="15"/>
        <v>-134745</v>
      </c>
      <c r="M108" s="70"/>
      <c r="N108" s="70"/>
      <c r="O108" s="70">
        <v>240000</v>
      </c>
      <c r="P108" s="70">
        <f>11600</f>
        <v>11600</v>
      </c>
      <c r="Q108" s="70"/>
      <c r="R108" s="70">
        <f>28400</f>
        <v>28400</v>
      </c>
      <c r="S108" s="70"/>
      <c r="T108" s="74">
        <f>134745</f>
        <v>134745</v>
      </c>
      <c r="U108" s="70"/>
      <c r="V108" s="70">
        <f>81200-28400</f>
        <v>52800</v>
      </c>
      <c r="W108" s="70">
        <v>1080000</v>
      </c>
      <c r="X108" s="70">
        <f>1103200</f>
        <v>1103200</v>
      </c>
      <c r="Y108" s="22">
        <f t="shared" si="18"/>
        <v>2650745</v>
      </c>
      <c r="Z108" s="67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69">
        <f t="shared" si="19"/>
        <v>95.66055472263868</v>
      </c>
      <c r="L109" s="64">
        <f t="shared" si="15"/>
        <v>-8683.23000000001</v>
      </c>
      <c r="M109" s="70"/>
      <c r="N109" s="70"/>
      <c r="O109" s="70">
        <v>203400</v>
      </c>
      <c r="P109" s="70"/>
      <c r="Q109" s="70"/>
      <c r="R109" s="70"/>
      <c r="S109" s="70"/>
      <c r="T109" s="74"/>
      <c r="U109" s="70">
        <f>-3300</f>
        <v>-3300</v>
      </c>
      <c r="V109" s="70"/>
      <c r="W109" s="70">
        <v>915300</v>
      </c>
      <c r="X109" s="70">
        <f>915300+3300</f>
        <v>918600</v>
      </c>
      <c r="Y109" s="22">
        <f t="shared" si="18"/>
        <v>2034000</v>
      </c>
      <c r="Z109" s="67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69">
        <f t="shared" si="19"/>
        <v>99.99847432733556</v>
      </c>
      <c r="L110" s="64">
        <f t="shared" si="15"/>
        <v>-51</v>
      </c>
      <c r="M110" s="70"/>
      <c r="N110" s="70"/>
      <c r="O110" s="70">
        <f>1100000</f>
        <v>1100000</v>
      </c>
      <c r="P110" s="70">
        <f>2401000</f>
        <v>2401000</v>
      </c>
      <c r="Q110" s="70"/>
      <c r="R110" s="70">
        <f>-161512.18</f>
        <v>-161512.18</v>
      </c>
      <c r="S110" s="70"/>
      <c r="T110" s="74">
        <f>1100000-1100000</f>
        <v>0</v>
      </c>
      <c r="U110" s="70">
        <f>3300</f>
        <v>3300</v>
      </c>
      <c r="V110" s="70"/>
      <c r="W110" s="70">
        <f>1201000-1201000</f>
        <v>0</v>
      </c>
      <c r="X110" s="70">
        <f>161512.18-97237-3300</f>
        <v>60975.17999999999</v>
      </c>
      <c r="Y110" s="22">
        <f t="shared" si="18"/>
        <v>3403763</v>
      </c>
      <c r="Z110" s="67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69">
        <f t="shared" si="19"/>
        <v>99.65545591748457</v>
      </c>
      <c r="L111" s="64">
        <f t="shared" si="15"/>
        <v>-5442.020000000019</v>
      </c>
      <c r="M111" s="70"/>
      <c r="N111" s="70"/>
      <c r="O111" s="70">
        <v>76700</v>
      </c>
      <c r="P111" s="70">
        <f>1395300</f>
        <v>1395300</v>
      </c>
      <c r="Q111" s="70"/>
      <c r="R111" s="70"/>
      <c r="S111" s="70">
        <f>107484.39</f>
        <v>107484.39</v>
      </c>
      <c r="T111" s="74"/>
      <c r="U111" s="70"/>
      <c r="V111" s="70"/>
      <c r="W111" s="70"/>
      <c r="X111" s="70"/>
      <c r="Y111" s="22">
        <f t="shared" si="18"/>
        <v>1579484.39</v>
      </c>
      <c r="Z111" s="67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69">
        <f t="shared" si="19"/>
        <v>100</v>
      </c>
      <c r="L112" s="64">
        <f t="shared" si="15"/>
        <v>0</v>
      </c>
      <c r="M112" s="70"/>
      <c r="N112" s="70"/>
      <c r="O112" s="70">
        <f>118000</f>
        <v>118000</v>
      </c>
      <c r="P112" s="70"/>
      <c r="Q112" s="70"/>
      <c r="R112" s="70">
        <f>249000-220000+22000</f>
        <v>51000</v>
      </c>
      <c r="S112" s="70"/>
      <c r="T112" s="74"/>
      <c r="U112" s="70">
        <f>36700-36700</f>
        <v>0</v>
      </c>
      <c r="V112" s="70">
        <f>256900-118000-138900</f>
        <v>0</v>
      </c>
      <c r="W112" s="70"/>
      <c r="X112" s="70">
        <f>73400-73400+220000-22000</f>
        <v>198000</v>
      </c>
      <c r="Y112" s="22">
        <f t="shared" si="18"/>
        <v>367000</v>
      </c>
      <c r="Z112" s="67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69">
        <f t="shared" si="19"/>
        <v>97.89684229390681</v>
      </c>
      <c r="L113" s="64">
        <f t="shared" si="15"/>
        <v>-17603.429999999935</v>
      </c>
      <c r="M113" s="70"/>
      <c r="N113" s="70"/>
      <c r="O113" s="70">
        <f>44000</f>
        <v>44000</v>
      </c>
      <c r="P113" s="70">
        <f>793000</f>
        <v>793000</v>
      </c>
      <c r="Q113" s="70"/>
      <c r="R113" s="70"/>
      <c r="S113" s="70"/>
      <c r="T113" s="74"/>
      <c r="U113" s="70"/>
      <c r="V113" s="70"/>
      <c r="W113" s="70"/>
      <c r="X113" s="70"/>
      <c r="Y113" s="22">
        <f t="shared" si="18"/>
        <v>837000</v>
      </c>
      <c r="Z113" s="67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69">
        <f t="shared" si="19"/>
        <v>12.206572769953052</v>
      </c>
      <c r="L114" s="64">
        <f t="shared" si="15"/>
        <v>-187000</v>
      </c>
      <c r="M114" s="70"/>
      <c r="N114" s="70"/>
      <c r="O114" s="70">
        <f>26000</f>
        <v>26000</v>
      </c>
      <c r="P114" s="70">
        <f>274000</f>
        <v>274000</v>
      </c>
      <c r="Q114" s="70"/>
      <c r="R114" s="70">
        <f>-270000</f>
        <v>-270000</v>
      </c>
      <c r="S114" s="70"/>
      <c r="T114" s="74"/>
      <c r="U114" s="70">
        <f>183000</f>
        <v>183000</v>
      </c>
      <c r="V114" s="70"/>
      <c r="W114" s="70"/>
      <c r="X114" s="70">
        <f>270000-183000</f>
        <v>87000</v>
      </c>
      <c r="Y114" s="22">
        <f t="shared" si="18"/>
        <v>300000</v>
      </c>
      <c r="Z114" s="67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9">
        <f t="shared" si="19"/>
        <v>0</v>
      </c>
      <c r="L115" s="64">
        <f t="shared" si="15"/>
        <v>-70000</v>
      </c>
      <c r="M115" s="70"/>
      <c r="N115" s="71">
        <v>70000</v>
      </c>
      <c r="O115" s="70"/>
      <c r="P115" s="70"/>
      <c r="Q115" s="70"/>
      <c r="R115" s="70"/>
      <c r="S115" s="70"/>
      <c r="T115" s="74"/>
      <c r="U115" s="70"/>
      <c r="V115" s="70"/>
      <c r="W115" s="70"/>
      <c r="X115" s="70"/>
      <c r="Y115" s="22">
        <f t="shared" si="18"/>
        <v>70000</v>
      </c>
      <c r="Z115" s="67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69">
        <f t="shared" si="19"/>
        <v>8.850584945571505</v>
      </c>
      <c r="L116" s="64">
        <f t="shared" si="15"/>
        <v>-700310.8</v>
      </c>
      <c r="M116" s="70"/>
      <c r="N116" s="70"/>
      <c r="O116" s="70"/>
      <c r="P116" s="70">
        <f>9653</f>
        <v>9653</v>
      </c>
      <c r="Q116" s="70"/>
      <c r="R116" s="70">
        <f>909247-722589.2</f>
        <v>186657.80000000005</v>
      </c>
      <c r="S116" s="70"/>
      <c r="T116" s="74">
        <f>76700-76700</f>
        <v>0</v>
      </c>
      <c r="U116" s="70">
        <f>67081-67081+572000</f>
        <v>572000</v>
      </c>
      <c r="V116" s="70">
        <f>536900-536900</f>
        <v>0</v>
      </c>
      <c r="W116" s="70">
        <f>75166-75166</f>
        <v>0</v>
      </c>
      <c r="X116" s="70">
        <f>153400-153400+722589.2-572000</f>
        <v>150589.19999999995</v>
      </c>
      <c r="Y116" s="22">
        <f t="shared" si="18"/>
        <v>918900</v>
      </c>
      <c r="Z116" s="67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69">
        <f t="shared" si="19"/>
        <v>99.60202979780065</v>
      </c>
      <c r="L117" s="64">
        <f t="shared" si="15"/>
        <v>-5609.389999999898</v>
      </c>
      <c r="M117" s="70"/>
      <c r="N117" s="70"/>
      <c r="O117" s="70">
        <v>900000</v>
      </c>
      <c r="P117" s="70">
        <f>-900000</f>
        <v>-900000</v>
      </c>
      <c r="Q117" s="70"/>
      <c r="R117" s="70">
        <v>573500</v>
      </c>
      <c r="S117" s="70">
        <f>836000</f>
        <v>836000</v>
      </c>
      <c r="T117" s="74"/>
      <c r="U117" s="70"/>
      <c r="V117" s="70"/>
      <c r="W117" s="70">
        <f>900000-64000-836000</f>
        <v>0</v>
      </c>
      <c r="X117" s="70"/>
      <c r="Y117" s="22">
        <f t="shared" si="18"/>
        <v>1409500</v>
      </c>
      <c r="Z117" s="67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69">
        <f t="shared" si="19"/>
        <v>87.32026254552238</v>
      </c>
      <c r="L118" s="64">
        <f t="shared" si="15"/>
        <v>-780395.4899999993</v>
      </c>
      <c r="M118" s="70"/>
      <c r="N118" s="70"/>
      <c r="O118" s="70">
        <v>2200000</v>
      </c>
      <c r="P118" s="70">
        <f>1190000</f>
        <v>1190000</v>
      </c>
      <c r="Q118" s="70"/>
      <c r="R118" s="70">
        <f>1455598</f>
        <v>1455598</v>
      </c>
      <c r="S118" s="70">
        <f>250000</f>
        <v>250000</v>
      </c>
      <c r="T118" s="74">
        <f>2355598-900000-1455598+609068-250000</f>
        <v>359068</v>
      </c>
      <c r="U118" s="70">
        <f>700000</f>
        <v>700000</v>
      </c>
      <c r="V118" s="70">
        <f>190932</f>
        <v>190932</v>
      </c>
      <c r="W118" s="70"/>
      <c r="X118" s="70"/>
      <c r="Y118" s="22">
        <f t="shared" si="18"/>
        <v>6345598</v>
      </c>
      <c r="Z118" s="67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69">
        <f t="shared" si="19"/>
        <v>96.87720779011103</v>
      </c>
      <c r="L119" s="64">
        <f t="shared" si="15"/>
        <v>-146032.34999999963</v>
      </c>
      <c r="M119" s="70"/>
      <c r="N119" s="70"/>
      <c r="O119" s="70">
        <v>2550000</v>
      </c>
      <c r="P119" s="70"/>
      <c r="Q119" s="70">
        <v>2656455</v>
      </c>
      <c r="R119" s="70"/>
      <c r="S119" s="70"/>
      <c r="T119" s="74"/>
      <c r="U119" s="70">
        <f>-530116</f>
        <v>-530116</v>
      </c>
      <c r="V119" s="70">
        <f>530116</f>
        <v>530116</v>
      </c>
      <c r="W119" s="70"/>
      <c r="X119" s="70"/>
      <c r="Y119" s="22">
        <f t="shared" si="18"/>
        <v>5206455</v>
      </c>
      <c r="Z119" s="67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69">
        <f t="shared" si="19"/>
        <v>89.94117647058823</v>
      </c>
      <c r="L120" s="64">
        <f t="shared" si="15"/>
        <v>-256500</v>
      </c>
      <c r="M120" s="70"/>
      <c r="N120" s="70"/>
      <c r="O120" s="70"/>
      <c r="P120" s="70"/>
      <c r="Q120" s="70"/>
      <c r="R120" s="70"/>
      <c r="S120" s="70">
        <f>1790000-1790000</f>
        <v>0</v>
      </c>
      <c r="T120" s="74">
        <f>2300000</f>
        <v>2300000</v>
      </c>
      <c r="U120" s="70">
        <v>250000</v>
      </c>
      <c r="V120" s="70">
        <f>2378629-2300000</f>
        <v>78629</v>
      </c>
      <c r="W120" s="70"/>
      <c r="X120" s="70">
        <f>260000+1790000</f>
        <v>2050000</v>
      </c>
      <c r="Y120" s="22">
        <f t="shared" si="18"/>
        <v>4678629</v>
      </c>
      <c r="Z120" s="67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69">
        <f t="shared" si="19"/>
        <v>0</v>
      </c>
      <c r="L121" s="64">
        <f t="shared" si="15"/>
        <v>-160000</v>
      </c>
      <c r="M121" s="70"/>
      <c r="N121" s="70"/>
      <c r="O121" s="70"/>
      <c r="P121" s="70"/>
      <c r="Q121" s="70"/>
      <c r="R121" s="70"/>
      <c r="S121" s="70">
        <v>20000</v>
      </c>
      <c r="T121" s="74">
        <v>140000</v>
      </c>
      <c r="U121" s="70"/>
      <c r="V121" s="70">
        <v>40000</v>
      </c>
      <c r="W121" s="70"/>
      <c r="X121" s="70"/>
      <c r="Y121" s="22">
        <f>SUM(M121:X121)</f>
        <v>200000</v>
      </c>
      <c r="Z121" s="67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69">
        <f t="shared" si="19"/>
        <v>58.40857787810384</v>
      </c>
      <c r="L122" s="64">
        <f t="shared" si="15"/>
        <v>-147400</v>
      </c>
      <c r="M122" s="70"/>
      <c r="N122" s="70"/>
      <c r="O122" s="70">
        <f>58000</f>
        <v>58000</v>
      </c>
      <c r="P122" s="70">
        <f>7600</f>
        <v>7600</v>
      </c>
      <c r="Q122" s="70">
        <f>288800</f>
        <v>288800</v>
      </c>
      <c r="R122" s="70"/>
      <c r="S122" s="70"/>
      <c r="T122" s="74"/>
      <c r="U122" s="70">
        <f>36700-36700</f>
        <v>0</v>
      </c>
      <c r="V122" s="70">
        <f>252100-252100</f>
        <v>0</v>
      </c>
      <c r="W122" s="70"/>
      <c r="X122" s="70">
        <f>88600</f>
        <v>88600</v>
      </c>
      <c r="Y122" s="22">
        <f t="shared" si="18"/>
        <v>443000</v>
      </c>
      <c r="Z122" s="67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69" t="e">
        <f t="shared" si="19"/>
        <v>#DIV/0!</v>
      </c>
      <c r="L123" s="64">
        <f t="shared" si="15"/>
        <v>0</v>
      </c>
      <c r="M123" s="70"/>
      <c r="N123" s="70"/>
      <c r="O123" s="70"/>
      <c r="P123" s="70"/>
      <c r="Q123" s="70"/>
      <c r="R123" s="70"/>
      <c r="S123" s="70">
        <f>1800000-1800000</f>
        <v>0</v>
      </c>
      <c r="T123" s="74">
        <f>1800000-1800000</f>
        <v>0</v>
      </c>
      <c r="U123" s="70"/>
      <c r="V123" s="70">
        <f>2029000+1800000-3179707.24-454000</f>
        <v>195292.75999999978</v>
      </c>
      <c r="W123" s="70">
        <f>3165057.24+454000</f>
        <v>3619057.24</v>
      </c>
      <c r="X123" s="70">
        <f>14650</f>
        <v>14650</v>
      </c>
      <c r="Y123" s="22">
        <f t="shared" si="18"/>
        <v>3829000</v>
      </c>
      <c r="Z123" s="67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69">
        <f t="shared" si="19"/>
        <v>96.7889434612691</v>
      </c>
      <c r="L124" s="64">
        <f t="shared" si="15"/>
        <v>-90372.20000000019</v>
      </c>
      <c r="M124" s="70"/>
      <c r="N124" s="70"/>
      <c r="O124" s="70">
        <v>1800000</v>
      </c>
      <c r="P124" s="70"/>
      <c r="Q124" s="70"/>
      <c r="R124" s="70">
        <f>1900000-1900000</f>
        <v>0</v>
      </c>
      <c r="S124" s="70"/>
      <c r="T124" s="74">
        <f>1900000-944096.89</f>
        <v>955903.11</v>
      </c>
      <c r="U124" s="70">
        <f>58503.89</f>
        <v>58503.89</v>
      </c>
      <c r="V124" s="70">
        <f>885593</f>
        <v>885593</v>
      </c>
      <c r="W124" s="70"/>
      <c r="X124" s="70"/>
      <c r="Y124" s="22">
        <f t="shared" si="18"/>
        <v>3700000</v>
      </c>
      <c r="Z124" s="67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69">
        <f t="shared" si="19"/>
        <v>99.87541528239203</v>
      </c>
      <c r="L125" s="64">
        <f t="shared" si="15"/>
        <v>-600</v>
      </c>
      <c r="M125" s="70"/>
      <c r="N125" s="70"/>
      <c r="O125" s="70">
        <v>200000</v>
      </c>
      <c r="P125" s="70"/>
      <c r="Q125" s="70">
        <v>200000</v>
      </c>
      <c r="R125" s="70">
        <v>81600</v>
      </c>
      <c r="S125" s="70"/>
      <c r="T125" s="74"/>
      <c r="U125" s="70">
        <f>200000-200000</f>
        <v>0</v>
      </c>
      <c r="V125" s="70"/>
      <c r="W125" s="70">
        <v>34400</v>
      </c>
      <c r="X125" s="70"/>
      <c r="Y125" s="22">
        <f t="shared" si="18"/>
        <v>516000</v>
      </c>
      <c r="Z125" s="67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69">
        <f t="shared" si="19"/>
        <v>99.33251091359297</v>
      </c>
      <c r="L126" s="64">
        <f t="shared" si="15"/>
        <v>-46635.45999999996</v>
      </c>
      <c r="M126" s="70"/>
      <c r="N126" s="70"/>
      <c r="O126" s="70">
        <v>3290879</v>
      </c>
      <c r="P126" s="70">
        <f>860036+1603380.33</f>
        <v>2463416.33</v>
      </c>
      <c r="Q126" s="70">
        <f>506858-279453.33</f>
        <v>227404.66999999998</v>
      </c>
      <c r="R126" s="70">
        <f>600000-600000</f>
        <v>0</v>
      </c>
      <c r="S126" s="70">
        <f>600000-600000</f>
        <v>0</v>
      </c>
      <c r="T126" s="74">
        <f>123927-123927+760903.11+244096.89</f>
        <v>1005000</v>
      </c>
      <c r="U126" s="70">
        <f>58503.89-58503.89</f>
        <v>0</v>
      </c>
      <c r="V126" s="70">
        <f>185593-185593</f>
        <v>0</v>
      </c>
      <c r="W126" s="70"/>
      <c r="X126" s="70"/>
      <c r="Y126" s="22">
        <f t="shared" si="18"/>
        <v>6986700</v>
      </c>
      <c r="Z126" s="67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69" t="e">
        <f t="shared" si="19"/>
        <v>#VALUE!</v>
      </c>
      <c r="L127" s="64" t="e">
        <f t="shared" si="15"/>
        <v>#VALUE!</v>
      </c>
      <c r="M127" s="70"/>
      <c r="N127" s="70"/>
      <c r="O127" s="70">
        <v>47500</v>
      </c>
      <c r="P127" s="70"/>
      <c r="Q127" s="70"/>
      <c r="R127" s="70"/>
      <c r="S127" s="70">
        <f>466750-400000</f>
        <v>66750</v>
      </c>
      <c r="T127" s="70">
        <f>400000-483778.47-30471.53</f>
        <v>-114249.99999999997</v>
      </c>
      <c r="U127" s="70">
        <f>420750-292000-128750</f>
        <v>0</v>
      </c>
      <c r="V127" s="70">
        <f>775778.47-775778.47</f>
        <v>0</v>
      </c>
      <c r="W127" s="70"/>
      <c r="X127" s="70"/>
      <c r="Y127" s="22">
        <f t="shared" si="18"/>
        <v>2.9103830456733704E-11</v>
      </c>
      <c r="Z127" s="67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69">
        <f t="shared" si="19"/>
        <v>51.150098336064055</v>
      </c>
      <c r="L128" s="64">
        <f t="shared" si="15"/>
        <v>-525266.75</v>
      </c>
      <c r="M128" s="70"/>
      <c r="N128" s="70"/>
      <c r="O128" s="70">
        <v>73000</v>
      </c>
      <c r="P128" s="70"/>
      <c r="Q128" s="70"/>
      <c r="R128" s="70"/>
      <c r="S128" s="70">
        <v>730000</v>
      </c>
      <c r="T128" s="70"/>
      <c r="U128" s="70">
        <f>657000-100000-284733.25</f>
        <v>272266.75</v>
      </c>
      <c r="V128" s="70"/>
      <c r="W128" s="70"/>
      <c r="X128" s="70"/>
      <c r="Y128" s="22">
        <f t="shared" si="18"/>
        <v>1075266.75</v>
      </c>
      <c r="Z128" s="67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69">
        <f t="shared" si="19"/>
        <v>82.27228207639568</v>
      </c>
      <c r="L129" s="64">
        <f t="shared" si="15"/>
        <v>-181000</v>
      </c>
      <c r="M129" s="70"/>
      <c r="N129" s="70"/>
      <c r="O129" s="70">
        <f>72400+67600</f>
        <v>140000</v>
      </c>
      <c r="P129" s="70"/>
      <c r="Q129" s="70"/>
      <c r="R129" s="70"/>
      <c r="S129" s="70">
        <f>771300-67600</f>
        <v>703700</v>
      </c>
      <c r="T129" s="70"/>
      <c r="U129" s="70">
        <f>690300-513000</f>
        <v>177300</v>
      </c>
      <c r="V129" s="70"/>
      <c r="W129" s="70"/>
      <c r="X129" s="70"/>
      <c r="Y129" s="22">
        <f t="shared" si="18"/>
        <v>1021000</v>
      </c>
      <c r="Z129" s="67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69">
        <f t="shared" si="19"/>
        <v>0</v>
      </c>
      <c r="L130" s="64">
        <f t="shared" si="15"/>
        <v>-100000</v>
      </c>
      <c r="M130" s="70"/>
      <c r="N130" s="70"/>
      <c r="O130" s="70"/>
      <c r="P130" s="70"/>
      <c r="Q130" s="70"/>
      <c r="R130" s="70"/>
      <c r="S130" s="70">
        <v>21000</v>
      </c>
      <c r="T130" s="70">
        <v>79000</v>
      </c>
      <c r="U130" s="70"/>
      <c r="V130" s="70">
        <f>42000-42000</f>
        <v>0</v>
      </c>
      <c r="W130" s="70"/>
      <c r="X130" s="70"/>
      <c r="Y130" s="22">
        <f t="shared" si="18"/>
        <v>100000</v>
      </c>
      <c r="Z130" s="67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69">
        <f t="shared" si="19"/>
        <v>95.83124226308196</v>
      </c>
      <c r="L131" s="64">
        <f t="shared" si="15"/>
        <v>-464322.7400000002</v>
      </c>
      <c r="M131" s="70"/>
      <c r="N131" s="70"/>
      <c r="O131" s="70">
        <f>4423300-3920000+3920000-105000-1100000-313600</f>
        <v>2904700</v>
      </c>
      <c r="P131" s="70">
        <f>-1363380.33</f>
        <v>-1363380.33</v>
      </c>
      <c r="Q131" s="70">
        <f>279453.33+2552462</f>
        <v>2831915.33</v>
      </c>
      <c r="R131" s="70">
        <f>600000-600000</f>
        <v>0</v>
      </c>
      <c r="S131" s="70">
        <f>419862+105000+67600+360000-952462+3590000+540000+1650000-836000-250000</f>
        <v>4694000</v>
      </c>
      <c r="T131" s="70">
        <f>2618790+1100000+123927-1000000-1800000-540000+1100000+250000+700000</f>
        <v>2552717</v>
      </c>
      <c r="U131" s="70">
        <f>199004+202000-882800</f>
        <v>-481796</v>
      </c>
      <c r="V131" s="70">
        <f>28348+246000+439068-700000+41554.92+310800</f>
        <v>365770.92</v>
      </c>
      <c r="W131" s="70">
        <f>1472356+3920000-3920000-1016660+688500+836000+331000+572000</f>
        <v>2883196</v>
      </c>
      <c r="X131" s="70">
        <f>2423340-1790000-633340+360445.08</f>
        <v>360445.08</v>
      </c>
      <c r="Y131" s="22">
        <f t="shared" si="18"/>
        <v>14747568</v>
      </c>
      <c r="Z131" s="67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69">
        <f t="shared" si="19"/>
        <v>73.68332093085755</v>
      </c>
      <c r="L132" s="64">
        <f t="shared" si="15"/>
        <v>-1035598.6200000001</v>
      </c>
      <c r="M132" s="70"/>
      <c r="N132" s="70"/>
      <c r="O132" s="70">
        <v>1700000</v>
      </c>
      <c r="P132" s="70">
        <f>400000-1000000</f>
        <v>-600000</v>
      </c>
      <c r="Q132" s="70">
        <f>350000+990000</f>
        <v>1340000</v>
      </c>
      <c r="R132" s="70">
        <f>400000-400000</f>
        <v>0</v>
      </c>
      <c r="S132" s="70">
        <f>350000+240000-590000</f>
        <v>0</v>
      </c>
      <c r="T132" s="70">
        <f>523800</f>
        <v>523800</v>
      </c>
      <c r="U132" s="70">
        <f>760000+211341.73</f>
        <v>971341.73</v>
      </c>
      <c r="V132" s="70">
        <f>78105.07</f>
        <v>78105.07</v>
      </c>
      <c r="W132" s="70"/>
      <c r="X132" s="70"/>
      <c r="Y132" s="22">
        <f t="shared" si="18"/>
        <v>4013246.8</v>
      </c>
      <c r="Z132" s="67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69">
        <f t="shared" si="19"/>
        <v>0</v>
      </c>
      <c r="L133" s="64">
        <f t="shared" si="15"/>
        <v>-33000</v>
      </c>
      <c r="M133" s="70"/>
      <c r="N133" s="70"/>
      <c r="O133" s="70">
        <v>33000</v>
      </c>
      <c r="P133" s="70"/>
      <c r="Q133" s="70"/>
      <c r="R133" s="70"/>
      <c r="S133" s="70"/>
      <c r="T133" s="70"/>
      <c r="U133" s="70"/>
      <c r="V133" s="70"/>
      <c r="W133" s="70"/>
      <c r="X133" s="70"/>
      <c r="Y133" s="22">
        <f t="shared" si="18"/>
        <v>33000</v>
      </c>
      <c r="Z133" s="67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69">
        <f t="shared" si="19"/>
        <v>0</v>
      </c>
      <c r="L134" s="64">
        <f t="shared" si="15"/>
        <v>-116000</v>
      </c>
      <c r="M134" s="70"/>
      <c r="N134" s="70"/>
      <c r="O134" s="70"/>
      <c r="P134" s="70"/>
      <c r="Q134" s="70"/>
      <c r="R134" s="70"/>
      <c r="S134" s="70"/>
      <c r="T134" s="70"/>
      <c r="U134" s="70">
        <v>116000</v>
      </c>
      <c r="V134" s="70"/>
      <c r="W134" s="70"/>
      <c r="X134" s="70"/>
      <c r="Y134" s="22">
        <f t="shared" si="18"/>
        <v>116000</v>
      </c>
      <c r="Z134" s="67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69" t="e">
        <f t="shared" si="19"/>
        <v>#DIV/0!</v>
      </c>
      <c r="L135" s="64">
        <f t="shared" si="15"/>
        <v>0</v>
      </c>
      <c r="M135" s="70"/>
      <c r="N135" s="70"/>
      <c r="O135" s="70"/>
      <c r="P135" s="70"/>
      <c r="Q135" s="70"/>
      <c r="R135" s="70"/>
      <c r="S135" s="70">
        <v>50000</v>
      </c>
      <c r="T135" s="70"/>
      <c r="U135" s="70">
        <f>150000-200000</f>
        <v>-50000</v>
      </c>
      <c r="V135" s="70"/>
      <c r="W135" s="70"/>
      <c r="X135" s="70">
        <f>200000</f>
        <v>200000</v>
      </c>
      <c r="Y135" s="22">
        <f t="shared" si="18"/>
        <v>200000</v>
      </c>
      <c r="Z135" s="67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69">
        <f t="shared" si="19"/>
        <v>100</v>
      </c>
      <c r="L136" s="64">
        <f t="shared" si="15"/>
        <v>0</v>
      </c>
      <c r="M136" s="70"/>
      <c r="N136" s="70"/>
      <c r="O136" s="70"/>
      <c r="P136" s="70"/>
      <c r="Q136" s="70"/>
      <c r="R136" s="70">
        <f>446000</f>
        <v>446000</v>
      </c>
      <c r="S136" s="70"/>
      <c r="T136" s="70"/>
      <c r="U136" s="70">
        <f>-402116+76116</f>
        <v>-326000</v>
      </c>
      <c r="V136" s="70">
        <f>152144.93-76116</f>
        <v>76028.93</v>
      </c>
      <c r="W136" s="70">
        <f>100000-100000+7971.07</f>
        <v>7971.07</v>
      </c>
      <c r="X136" s="70">
        <f>346000-346000+242000</f>
        <v>242000</v>
      </c>
      <c r="Y136" s="22">
        <f t="shared" si="18"/>
        <v>446000</v>
      </c>
      <c r="Z136" s="67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69">
        <f t="shared" si="19"/>
        <v>88.79203684210526</v>
      </c>
      <c r="L137" s="64">
        <f>H137-(M137+N137+O137+P137+Q137+R137+S137+T137+U137)</f>
        <v>-127770.78000000003</v>
      </c>
      <c r="M137" s="70"/>
      <c r="N137" s="70"/>
      <c r="O137" s="70"/>
      <c r="P137" s="70"/>
      <c r="Q137" s="70"/>
      <c r="R137" s="70">
        <f>1440000-400000</f>
        <v>1040000</v>
      </c>
      <c r="S137" s="70">
        <f>144000-144000</f>
        <v>0</v>
      </c>
      <c r="T137" s="70">
        <f>1008000-1008000+100000</f>
        <v>100000</v>
      </c>
      <c r="U137" s="70"/>
      <c r="V137" s="70">
        <f>288000-288000</f>
        <v>0</v>
      </c>
      <c r="W137" s="70"/>
      <c r="X137" s="70">
        <f>400000</f>
        <v>400000</v>
      </c>
      <c r="Y137" s="22">
        <f t="shared" si="18"/>
        <v>1540000</v>
      </c>
      <c r="Z137" s="67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69">
        <f t="shared" si="19"/>
        <v>100</v>
      </c>
      <c r="L138" s="64">
        <f>H138-(M138+N138+O138+P138+Q138+R138+S138+T138+U138)</f>
        <v>0</v>
      </c>
      <c r="M138" s="70"/>
      <c r="N138" s="70"/>
      <c r="O138" s="70"/>
      <c r="P138" s="70"/>
      <c r="Q138" s="70"/>
      <c r="R138" s="70"/>
      <c r="S138" s="70"/>
      <c r="T138" s="70"/>
      <c r="U138" s="70">
        <f>300000</f>
        <v>300000</v>
      </c>
      <c r="V138" s="70">
        <f>152144.93-152144.93</f>
        <v>0</v>
      </c>
      <c r="W138" s="70">
        <f>195800-147855.07</f>
        <v>47944.92999999999</v>
      </c>
      <c r="X138" s="70">
        <f>52055.07</f>
        <v>52055.07</v>
      </c>
      <c r="Y138" s="22">
        <f t="shared" si="18"/>
        <v>400000</v>
      </c>
      <c r="Z138" s="67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69">
        <f t="shared" si="19"/>
        <v>0</v>
      </c>
      <c r="L139" s="64">
        <f t="shared" si="15"/>
        <v>-50000</v>
      </c>
      <c r="M139" s="70"/>
      <c r="N139" s="70"/>
      <c r="O139" s="70"/>
      <c r="P139" s="70"/>
      <c r="Q139" s="70"/>
      <c r="R139" s="70"/>
      <c r="S139" s="70"/>
      <c r="T139" s="70"/>
      <c r="U139" s="70">
        <f>50000</f>
        <v>50000</v>
      </c>
      <c r="V139" s="70">
        <f>500000</f>
        <v>500000</v>
      </c>
      <c r="W139" s="70">
        <f>400000</f>
        <v>400000</v>
      </c>
      <c r="X139" s="70"/>
      <c r="Y139" s="22">
        <f t="shared" si="18"/>
        <v>950000</v>
      </c>
      <c r="Z139" s="67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69">
        <f t="shared" si="19"/>
        <v>100</v>
      </c>
      <c r="L140" s="64">
        <f t="shared" si="15"/>
        <v>0</v>
      </c>
      <c r="M140" s="70"/>
      <c r="N140" s="70"/>
      <c r="O140" s="70">
        <f>361000+105000</f>
        <v>466000</v>
      </c>
      <c r="P140" s="70"/>
      <c r="Q140" s="70"/>
      <c r="R140" s="70">
        <v>26500</v>
      </c>
      <c r="S140" s="70">
        <f>334500-105000-247899</f>
        <v>-18399</v>
      </c>
      <c r="T140" s="70"/>
      <c r="U140" s="70">
        <f>-20384</f>
        <v>-20384</v>
      </c>
      <c r="V140" s="70"/>
      <c r="W140" s="70">
        <f>20384</f>
        <v>20384</v>
      </c>
      <c r="X140" s="70"/>
      <c r="Y140" s="22">
        <f t="shared" si="18"/>
        <v>474101</v>
      </c>
      <c r="Z140" s="67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69">
        <f t="shared" si="19"/>
        <v>100</v>
      </c>
      <c r="L141" s="64">
        <f t="shared" si="15"/>
        <v>0</v>
      </c>
      <c r="M141" s="70"/>
      <c r="N141" s="70"/>
      <c r="O141" s="70"/>
      <c r="P141" s="70"/>
      <c r="Q141" s="70"/>
      <c r="R141" s="70"/>
      <c r="S141" s="70">
        <v>50000</v>
      </c>
      <c r="T141" s="70"/>
      <c r="U141" s="70">
        <f>100000-47000</f>
        <v>53000</v>
      </c>
      <c r="V141" s="70"/>
      <c r="W141" s="70">
        <f>47000</f>
        <v>47000</v>
      </c>
      <c r="X141" s="70"/>
      <c r="Y141" s="22">
        <f t="shared" si="18"/>
        <v>150000</v>
      </c>
      <c r="Z141" s="67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69" t="e">
        <f t="shared" si="19"/>
        <v>#DIV/0!</v>
      </c>
      <c r="L142" s="64">
        <f t="shared" si="15"/>
        <v>0</v>
      </c>
      <c r="M142" s="70"/>
      <c r="N142" s="70"/>
      <c r="O142" s="70">
        <v>72500</v>
      </c>
      <c r="P142" s="70"/>
      <c r="Q142" s="70"/>
      <c r="R142" s="70"/>
      <c r="S142" s="70"/>
      <c r="T142" s="70"/>
      <c r="U142" s="70">
        <f>-72500</f>
        <v>-72500</v>
      </c>
      <c r="V142" s="70"/>
      <c r="W142" s="70">
        <f>72500</f>
        <v>72500</v>
      </c>
      <c r="X142" s="70"/>
      <c r="Y142" s="22">
        <f t="shared" si="18"/>
        <v>72500</v>
      </c>
      <c r="Z142" s="67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69">
        <f t="shared" si="19"/>
        <v>6.837606837606838</v>
      </c>
      <c r="L143" s="64">
        <f t="shared" si="15"/>
        <v>-109000</v>
      </c>
      <c r="M143" s="70"/>
      <c r="N143" s="70"/>
      <c r="O143" s="70"/>
      <c r="P143" s="70"/>
      <c r="Q143" s="70"/>
      <c r="R143" s="70">
        <f>117000</f>
        <v>117000</v>
      </c>
      <c r="S143" s="70"/>
      <c r="T143" s="70"/>
      <c r="U143" s="70"/>
      <c r="V143" s="70">
        <f>117000-117000</f>
        <v>0</v>
      </c>
      <c r="W143" s="70"/>
      <c r="X143" s="70"/>
      <c r="Y143" s="22">
        <f t="shared" si="18"/>
        <v>117000</v>
      </c>
      <c r="Z143" s="67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69">
        <f t="shared" si="19"/>
        <v>8.620689655172415</v>
      </c>
      <c r="L144" s="64">
        <f t="shared" si="15"/>
        <v>-106000</v>
      </c>
      <c r="M144" s="70"/>
      <c r="N144" s="70"/>
      <c r="O144" s="70"/>
      <c r="P144" s="70"/>
      <c r="Q144" s="70"/>
      <c r="R144" s="70">
        <f>116000</f>
        <v>116000</v>
      </c>
      <c r="S144" s="70"/>
      <c r="T144" s="70"/>
      <c r="U144" s="70">
        <f>116000-116000</f>
        <v>0</v>
      </c>
      <c r="V144" s="70"/>
      <c r="W144" s="70"/>
      <c r="X144" s="70"/>
      <c r="Y144" s="22">
        <f t="shared" si="18"/>
        <v>116000</v>
      </c>
      <c r="Z144" s="67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69">
        <f t="shared" si="19"/>
        <v>21.153846153846153</v>
      </c>
      <c r="L145" s="64">
        <f>H145-(M145+N145+O145+P145+Q145+R145+S145+T145+U145)</f>
        <v>-287000</v>
      </c>
      <c r="M145" s="70"/>
      <c r="N145" s="70"/>
      <c r="O145" s="70"/>
      <c r="P145" s="70">
        <f>35700</f>
        <v>35700</v>
      </c>
      <c r="Q145" s="70"/>
      <c r="R145" s="70">
        <f>678300-350000</f>
        <v>328300</v>
      </c>
      <c r="S145" s="70"/>
      <c r="T145" s="70"/>
      <c r="U145" s="70">
        <f>357000-357000</f>
        <v>0</v>
      </c>
      <c r="V145" s="70">
        <f>249900-249900</f>
        <v>0</v>
      </c>
      <c r="W145" s="70"/>
      <c r="X145" s="70">
        <f>71400-71400+350000</f>
        <v>350000</v>
      </c>
      <c r="Y145" s="22">
        <f t="shared" si="18"/>
        <v>714000</v>
      </c>
      <c r="Z145" s="67">
        <f t="shared" si="16"/>
        <v>0</v>
      </c>
    </row>
    <row r="146" spans="1:26" ht="36" customHeight="1">
      <c r="A146" s="87" t="s">
        <v>64</v>
      </c>
      <c r="B146" s="87"/>
      <c r="C146" s="87"/>
      <c r="D146" s="87"/>
      <c r="E146" s="87"/>
      <c r="F146" s="87"/>
      <c r="G146" s="87"/>
      <c r="H146" s="87"/>
      <c r="I146" s="87"/>
      <c r="J146" s="87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2"/>
      <c r="Z146" s="67">
        <f>Y146-D146</f>
        <v>0</v>
      </c>
    </row>
    <row r="147" spans="1:26" ht="18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91185980.70000002</v>
      </c>
      <c r="I147" s="38">
        <f>H147/D147*100</f>
        <v>61.73645631067962</v>
      </c>
      <c r="J147" s="38">
        <f>H147/(N147+O147+P147+Q147+R147+S147+T147+U147)*100</f>
        <v>88.05572302449157</v>
      </c>
      <c r="K147" s="63"/>
      <c r="L147" s="64">
        <f>H147-(M147+N147+O147+P147+Q147+R147+S147+T147+U147)</f>
        <v>-12368879.299999982</v>
      </c>
      <c r="M147" s="65">
        <f>SUM(M148:M181)</f>
        <v>0</v>
      </c>
      <c r="N147" s="65">
        <f aca="true" t="shared" si="26" ref="N147:X147">SUM(N148:N181)</f>
        <v>1600000</v>
      </c>
      <c r="O147" s="65">
        <f t="shared" si="26"/>
        <v>28719871.54</v>
      </c>
      <c r="P147" s="65">
        <f t="shared" si="26"/>
        <v>16291625</v>
      </c>
      <c r="Q147" s="65">
        <f t="shared" si="26"/>
        <v>6529200</v>
      </c>
      <c r="R147" s="65">
        <f t="shared" si="26"/>
        <v>3392528.46</v>
      </c>
      <c r="S147" s="65">
        <f t="shared" si="26"/>
        <v>12752595</v>
      </c>
      <c r="T147" s="65">
        <f t="shared" si="26"/>
        <v>19079605</v>
      </c>
      <c r="U147" s="65">
        <f t="shared" si="26"/>
        <v>15189435</v>
      </c>
      <c r="V147" s="65">
        <f t="shared" si="26"/>
        <v>11182700</v>
      </c>
      <c r="W147" s="65">
        <f t="shared" si="26"/>
        <v>20354240</v>
      </c>
      <c r="X147" s="65">
        <f t="shared" si="26"/>
        <v>12610200</v>
      </c>
      <c r="Y147" s="65">
        <f>SUM(Y148:Y181)</f>
        <v>147702000</v>
      </c>
      <c r="Z147" s="67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91185980.70000002</v>
      </c>
      <c r="I148" s="53">
        <f>H148/D148*100</f>
        <v>61.73645631067962</v>
      </c>
      <c r="J148" s="72">
        <f>H148/(N147+O147+P147+Q147+R147+S147+T147+U147)*100</f>
        <v>88.05572302449157</v>
      </c>
      <c r="L148" s="6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69">
        <f>H149/(N149+O149+P149+Q149+R149+S149+T149+U149)*100</f>
        <v>0</v>
      </c>
      <c r="L149" s="64">
        <f>H149-(M149+N149+O149+P149+Q149+R149+S149+T149+U149)</f>
        <v>-5000</v>
      </c>
      <c r="M149" s="24"/>
      <c r="N149" s="24"/>
      <c r="O149" s="24"/>
      <c r="P149" s="24"/>
      <c r="Q149" s="24"/>
      <c r="R149" s="24"/>
      <c r="S149" s="24"/>
      <c r="T149" s="24">
        <v>5000</v>
      </c>
      <c r="U149" s="24"/>
      <c r="V149" s="24"/>
      <c r="W149" s="24"/>
      <c r="X149" s="24"/>
      <c r="Y149" s="22">
        <f>SUM(M149:X149)</f>
        <v>5000</v>
      </c>
      <c r="Z149" s="67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69">
        <f aca="true" t="shared" si="27" ref="J150:J181">H150/(N150+O150+P150+Q150+R150+S150+T150+U150)*100</f>
        <v>0</v>
      </c>
      <c r="L150" s="64">
        <f aca="true" t="shared" si="28" ref="L150:L182">H150-(M150+N150+O150+P150+Q150+R150+S150+T150+U150)</f>
        <v>-50000</v>
      </c>
      <c r="M150" s="24"/>
      <c r="N150" s="24"/>
      <c r="O150" s="24"/>
      <c r="P150" s="24"/>
      <c r="Q150" s="24"/>
      <c r="R150" s="24"/>
      <c r="S150" s="24"/>
      <c r="T150" s="24">
        <v>50000</v>
      </c>
      <c r="U150" s="24"/>
      <c r="V150" s="24">
        <v>400000</v>
      </c>
      <c r="W150" s="24">
        <v>450000</v>
      </c>
      <c r="X150" s="24"/>
      <c r="Y150" s="22">
        <f>SUM(M150:X150)</f>
        <v>900000</v>
      </c>
      <c r="Z150" s="67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69" t="e">
        <f t="shared" si="27"/>
        <v>#DIV/0!</v>
      </c>
      <c r="L151" s="64">
        <f t="shared" si="28"/>
        <v>0</v>
      </c>
      <c r="M151" s="24"/>
      <c r="N151" s="24"/>
      <c r="O151" s="24"/>
      <c r="P151" s="24"/>
      <c r="Q151" s="24"/>
      <c r="R151" s="24"/>
      <c r="S151" s="24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7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69">
        <f t="shared" si="27"/>
        <v>85.58200000000001</v>
      </c>
      <c r="L152" s="64">
        <f t="shared" si="28"/>
        <v>-43254</v>
      </c>
      <c r="M152" s="24"/>
      <c r="N152" s="24"/>
      <c r="O152" s="24"/>
      <c r="P152" s="24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7">
        <f>Y152-D152</f>
        <v>0</v>
      </c>
    </row>
    <row r="153" spans="1:26" ht="18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69" t="e">
        <f t="shared" si="27"/>
        <v>#DIV/0!</v>
      </c>
      <c r="L153" s="64">
        <f t="shared" si="28"/>
        <v>0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49">
        <v>500000</v>
      </c>
      <c r="X153" s="11"/>
      <c r="Y153" s="22">
        <f t="shared" si="31"/>
        <v>500000</v>
      </c>
      <c r="Z153" s="67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69">
        <f t="shared" si="27"/>
        <v>0</v>
      </c>
      <c r="L154" s="64">
        <f t="shared" si="28"/>
        <v>-500000</v>
      </c>
      <c r="M154" s="24"/>
      <c r="N154" s="24"/>
      <c r="O154" s="24"/>
      <c r="P154" s="24"/>
      <c r="Q154" s="24"/>
      <c r="R154" s="24"/>
      <c r="S154" s="24"/>
      <c r="T154" s="24"/>
      <c r="U154" s="24">
        <v>500000</v>
      </c>
      <c r="V154" s="24"/>
      <c r="W154" s="24"/>
      <c r="X154" s="24">
        <v>500000</v>
      </c>
      <c r="Y154" s="22">
        <f t="shared" si="31"/>
        <v>1000000</v>
      </c>
      <c r="Z154" s="67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3" ref="I155:I160">H155/G155*100</f>
        <v>4.1888000000000005</v>
      </c>
      <c r="J155" s="69">
        <f t="shared" si="27"/>
        <v>95.19999999999999</v>
      </c>
      <c r="L155" s="64">
        <f t="shared" si="28"/>
        <v>-1056</v>
      </c>
      <c r="M155" s="24"/>
      <c r="N155" s="24"/>
      <c r="O155" s="24"/>
      <c r="P155" s="24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7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3"/>
        <v>58.264490971428586</v>
      </c>
      <c r="J156" s="69">
        <f t="shared" si="27"/>
        <v>58.264490971428586</v>
      </c>
      <c r="L156" s="64">
        <f t="shared" si="28"/>
        <v>-3651857.039999999</v>
      </c>
      <c r="M156" s="24"/>
      <c r="N156" s="24"/>
      <c r="O156" s="24">
        <f>4375000-2875000</f>
        <v>1500000</v>
      </c>
      <c r="P156" s="24"/>
      <c r="Q156" s="24"/>
      <c r="R156" s="24">
        <v>2700000</v>
      </c>
      <c r="S156" s="24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7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3"/>
        <v>79.79304627906977</v>
      </c>
      <c r="J157" s="69">
        <f t="shared" si="27"/>
        <v>79.79304627906977</v>
      </c>
      <c r="L157" s="64">
        <f t="shared" si="28"/>
        <v>-1737798.0199999996</v>
      </c>
      <c r="M157" s="24"/>
      <c r="N157" s="24"/>
      <c r="O157" s="24">
        <f>4300000-1000000</f>
        <v>3300000</v>
      </c>
      <c r="P157" s="24"/>
      <c r="Q157" s="24">
        <v>3152000</v>
      </c>
      <c r="R157" s="24"/>
      <c r="S157" s="24">
        <v>2000000</v>
      </c>
      <c r="T157" s="24">
        <v>148000</v>
      </c>
      <c r="U157" s="24"/>
      <c r="V157" s="24"/>
      <c r="W157" s="24"/>
      <c r="X157" s="24"/>
      <c r="Y157" s="22">
        <f t="shared" si="31"/>
        <v>8600000</v>
      </c>
      <c r="Z157" s="67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3"/>
        <v>8</v>
      </c>
      <c r="J158" s="69">
        <f t="shared" si="27"/>
        <v>57.14285714285714</v>
      </c>
      <c r="L158" s="64">
        <f t="shared" si="28"/>
        <v>-300000</v>
      </c>
      <c r="M158" s="24"/>
      <c r="N158" s="24"/>
      <c r="O158" s="24"/>
      <c r="P158" s="24"/>
      <c r="Q158" s="24"/>
      <c r="R158" s="24">
        <f>400000</f>
        <v>400000</v>
      </c>
      <c r="S158" s="24">
        <f>350000-350000</f>
        <v>0</v>
      </c>
      <c r="T158" s="24">
        <f>350000-50000</f>
        <v>300000</v>
      </c>
      <c r="U158" s="24"/>
      <c r="V158" s="24">
        <v>2150000</v>
      </c>
      <c r="W158" s="24">
        <v>2150000</v>
      </c>
      <c r="X158" s="24"/>
      <c r="Y158" s="22">
        <f t="shared" si="31"/>
        <v>5000000</v>
      </c>
      <c r="Z158" s="67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3"/>
        <v>0.5644337662337662</v>
      </c>
      <c r="J159" s="69">
        <f t="shared" si="27"/>
        <v>96.5808888888889</v>
      </c>
      <c r="L159" s="64">
        <f t="shared" si="28"/>
        <v>-1538.5999999999985</v>
      </c>
      <c r="M159" s="24"/>
      <c r="N159" s="24"/>
      <c r="O159" s="24"/>
      <c r="P159" s="24"/>
      <c r="Q159" s="24"/>
      <c r="R159" s="24">
        <f>45000</f>
        <v>45000</v>
      </c>
      <c r="S159" s="24">
        <f>150000-45000</f>
        <v>105000</v>
      </c>
      <c r="T159" s="24"/>
      <c r="U159" s="24">
        <f>3775000-3880000</f>
        <v>-105000</v>
      </c>
      <c r="V159" s="24">
        <f>1550000</f>
        <v>1550000</v>
      </c>
      <c r="W159" s="24">
        <f>714800+2330000</f>
        <v>3044800</v>
      </c>
      <c r="X159" s="24">
        <v>3060200</v>
      </c>
      <c r="Y159" s="22">
        <f t="shared" si="31"/>
        <v>7700000</v>
      </c>
      <c r="Z159" s="67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3"/>
        <v>30</v>
      </c>
      <c r="J160" s="69">
        <f t="shared" si="27"/>
        <v>100</v>
      </c>
      <c r="L160" s="64">
        <f t="shared" si="28"/>
        <v>0</v>
      </c>
      <c r="M160" s="24"/>
      <c r="N160" s="24"/>
      <c r="O160" s="24"/>
      <c r="P160" s="24"/>
      <c r="Q160" s="24"/>
      <c r="R160" s="24"/>
      <c r="S160" s="24"/>
      <c r="T160" s="24"/>
      <c r="U160" s="24">
        <v>300000</v>
      </c>
      <c r="V160" s="24"/>
      <c r="W160" s="24">
        <v>700000</v>
      </c>
      <c r="X160" s="24"/>
      <c r="Y160" s="22">
        <f t="shared" si="31"/>
        <v>1000000</v>
      </c>
      <c r="Z160" s="67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69">
        <f t="shared" si="27"/>
        <v>0</v>
      </c>
      <c r="L161" s="64">
        <f t="shared" si="28"/>
        <v>-250000</v>
      </c>
      <c r="M161" s="24"/>
      <c r="N161" s="24"/>
      <c r="O161" s="24"/>
      <c r="P161" s="24"/>
      <c r="Q161" s="24"/>
      <c r="R161" s="24"/>
      <c r="S161" s="24"/>
      <c r="T161" s="24"/>
      <c r="U161" s="24">
        <v>250000</v>
      </c>
      <c r="V161" s="24"/>
      <c r="W161" s="24">
        <v>250000</v>
      </c>
      <c r="X161" s="24"/>
      <c r="Y161" s="22">
        <f t="shared" si="31"/>
        <v>500000</v>
      </c>
      <c r="Z161" s="67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69">
        <f t="shared" si="27"/>
        <v>99.99133268234695</v>
      </c>
      <c r="L162" s="64">
        <f t="shared" si="28"/>
        <v>-285.8099999995902</v>
      </c>
      <c r="M162" s="24"/>
      <c r="N162" s="24"/>
      <c r="O162" s="24"/>
      <c r="P162" s="24">
        <f>1460000+1585125</f>
        <v>3045125</v>
      </c>
      <c r="Q162" s="24"/>
      <c r="R162" s="24"/>
      <c r="S162" s="24">
        <f>2500000-1460000-12000-69000</f>
        <v>959000</v>
      </c>
      <c r="T162" s="24">
        <v>12000</v>
      </c>
      <c r="U162" s="24">
        <f>114435+57000-890000</f>
        <v>-718565</v>
      </c>
      <c r="V162" s="24">
        <f>890000</f>
        <v>890000</v>
      </c>
      <c r="W162" s="24">
        <f>2385565-1585125+12000</f>
        <v>812440</v>
      </c>
      <c r="X162" s="24"/>
      <c r="Y162" s="22">
        <f t="shared" si="31"/>
        <v>5000000</v>
      </c>
      <c r="Z162" s="67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69">
        <f t="shared" si="27"/>
        <v>2.878216</v>
      </c>
      <c r="L163" s="64">
        <f t="shared" si="28"/>
        <v>-485608.92</v>
      </c>
      <c r="M163" s="24"/>
      <c r="N163" s="24"/>
      <c r="O163" s="24">
        <f>14500</f>
        <v>14500</v>
      </c>
      <c r="P163" s="24"/>
      <c r="Q163" s="24"/>
      <c r="R163" s="24"/>
      <c r="S163" s="24"/>
      <c r="T163" s="24">
        <f>500000-14500</f>
        <v>485500</v>
      </c>
      <c r="U163" s="24"/>
      <c r="V163" s="24"/>
      <c r="W163" s="24"/>
      <c r="X163" s="24"/>
      <c r="Y163" s="22">
        <f t="shared" si="31"/>
        <v>500000</v>
      </c>
      <c r="Z163" s="67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69">
        <f t="shared" si="27"/>
        <v>95.86823529411764</v>
      </c>
      <c r="L164" s="64">
        <f t="shared" si="28"/>
        <v>-21072</v>
      </c>
      <c r="M164" s="24"/>
      <c r="N164" s="24"/>
      <c r="O164" s="24"/>
      <c r="P164" s="24"/>
      <c r="Q164" s="24">
        <v>500000</v>
      </c>
      <c r="R164" s="24">
        <f>-500000</f>
        <v>-500000</v>
      </c>
      <c r="S164" s="24">
        <f>500000</f>
        <v>500000</v>
      </c>
      <c r="T164" s="24">
        <v>500000</v>
      </c>
      <c r="U164" s="24">
        <f>-490000</f>
        <v>-490000</v>
      </c>
      <c r="V164" s="24">
        <v>490000</v>
      </c>
      <c r="W164" s="24"/>
      <c r="X164" s="24"/>
      <c r="Y164" s="22">
        <f t="shared" si="31"/>
        <v>1000000</v>
      </c>
      <c r="Z164" s="67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49000+17791.2</f>
        <v>66791.2</v>
      </c>
      <c r="I165" s="43">
        <f>H165/G165*100</f>
        <v>5.098564885496184</v>
      </c>
      <c r="J165" s="69">
        <f t="shared" si="27"/>
        <v>66.79119999999999</v>
      </c>
      <c r="L165" s="64">
        <f t="shared" si="28"/>
        <v>-33208.8</v>
      </c>
      <c r="M165" s="24"/>
      <c r="N165" s="24"/>
      <c r="O165" s="24"/>
      <c r="P165" s="24"/>
      <c r="Q165" s="24"/>
      <c r="R165" s="24"/>
      <c r="S165" s="24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7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16806225.23+2399840.4+1688728.36+6065043.03+84921.28+363713.37+127842.4+1161813.97+2000000+1774880.8+6340000</f>
        <v>38813008.84</v>
      </c>
      <c r="I166" s="43">
        <f>H166/G166*100</f>
        <v>87.22024458426966</v>
      </c>
      <c r="J166" s="69">
        <f t="shared" si="27"/>
        <v>95.40233470571609</v>
      </c>
      <c r="L166" s="64">
        <f t="shared" si="28"/>
        <v>-1870491.1599999964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100000+5840000</f>
        <v>5940000</v>
      </c>
      <c r="V166" s="49">
        <f>1833500+100000-980000</f>
        <v>953500</v>
      </c>
      <c r="W166" s="49">
        <f>163000+2700000</f>
        <v>2863000</v>
      </c>
      <c r="X166" s="49">
        <f>160000+2700000+2000000-4860000</f>
        <v>0</v>
      </c>
      <c r="Y166" s="22">
        <f t="shared" si="31"/>
        <v>44500000</v>
      </c>
      <c r="Z166" s="67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69">
        <f t="shared" si="27"/>
        <v>0</v>
      </c>
      <c r="L167" s="64">
        <f t="shared" si="28"/>
        <v>-400000</v>
      </c>
      <c r="M167" s="24"/>
      <c r="N167" s="24"/>
      <c r="O167" s="24"/>
      <c r="P167" s="24"/>
      <c r="Q167" s="24">
        <v>300000</v>
      </c>
      <c r="R167" s="24"/>
      <c r="S167" s="24"/>
      <c r="T167" s="24"/>
      <c r="U167" s="24">
        <f>600000-500000</f>
        <v>100000</v>
      </c>
      <c r="V167" s="24">
        <v>600000</v>
      </c>
      <c r="W167" s="24">
        <f>500000</f>
        <v>500000</v>
      </c>
      <c r="X167" s="24"/>
      <c r="Y167" s="22">
        <f t="shared" si="31"/>
        <v>1500000</v>
      </c>
      <c r="Z167" s="67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69">
        <f t="shared" si="27"/>
        <v>79.74135773809523</v>
      </c>
      <c r="L168" s="64">
        <f t="shared" si="28"/>
        <v>-340345.1900000002</v>
      </c>
      <c r="M168" s="24"/>
      <c r="N168" s="24">
        <v>1600000</v>
      </c>
      <c r="O168" s="24">
        <f>1600000-700000</f>
        <v>900000</v>
      </c>
      <c r="P168" s="24"/>
      <c r="Q168" s="24">
        <f>-1100000</f>
        <v>-1100000</v>
      </c>
      <c r="R168" s="24"/>
      <c r="S168" s="24">
        <f>700000</f>
        <v>700000</v>
      </c>
      <c r="T168" s="24">
        <f>1100000</f>
        <v>1100000</v>
      </c>
      <c r="U168" s="24">
        <f>-520000-1000000</f>
        <v>-1520000</v>
      </c>
      <c r="V168" s="24">
        <f>120000</f>
        <v>120000</v>
      </c>
      <c r="W168" s="24">
        <f>400000</f>
        <v>400000</v>
      </c>
      <c r="X168" s="24">
        <f>1000000</f>
        <v>1000000</v>
      </c>
      <c r="Y168" s="22">
        <f t="shared" si="31"/>
        <v>3200000</v>
      </c>
      <c r="Z168" s="67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69" t="e">
        <f t="shared" si="27"/>
        <v>#DIV/0!</v>
      </c>
      <c r="L169" s="64">
        <f t="shared" si="28"/>
        <v>0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>
        <v>147000</v>
      </c>
      <c r="X169" s="24"/>
      <c r="Y169" s="22">
        <f t="shared" si="31"/>
        <v>147000</v>
      </c>
      <c r="Z169" s="67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69" t="e">
        <f t="shared" si="27"/>
        <v>#DIV/0!</v>
      </c>
      <c r="L170" s="64">
        <f t="shared" si="28"/>
        <v>0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>
        <v>1036000</v>
      </c>
      <c r="X170" s="24"/>
      <c r="Y170" s="22">
        <f t="shared" si="31"/>
        <v>1036000</v>
      </c>
      <c r="Z170" s="67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69" t="e">
        <f t="shared" si="27"/>
        <v>#DIV/0!</v>
      </c>
      <c r="L171" s="64">
        <f t="shared" si="28"/>
        <v>0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>
        <v>137000</v>
      </c>
      <c r="X171" s="24"/>
      <c r="Y171" s="22">
        <f t="shared" si="31"/>
        <v>137000</v>
      </c>
      <c r="Z171" s="67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69" t="e">
        <f t="shared" si="27"/>
        <v>#DIV/0!</v>
      </c>
      <c r="L172" s="64">
        <f t="shared" si="28"/>
        <v>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>
        <v>254000</v>
      </c>
      <c r="X172" s="24"/>
      <c r="Y172" s="22">
        <f t="shared" si="31"/>
        <v>254000</v>
      </c>
      <c r="Z172" s="67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69" t="e">
        <f t="shared" si="27"/>
        <v>#DIV/0!</v>
      </c>
      <c r="L173" s="64">
        <f t="shared" si="28"/>
        <v>0</v>
      </c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>
        <v>400000</v>
      </c>
      <c r="X173" s="24"/>
      <c r="Y173" s="22">
        <f t="shared" si="31"/>
        <v>400000</v>
      </c>
      <c r="Z173" s="67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69" t="e">
        <f t="shared" si="27"/>
        <v>#DIV/0!</v>
      </c>
      <c r="L174" s="64">
        <f t="shared" si="28"/>
        <v>0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>
        <v>248000</v>
      </c>
      <c r="X174" s="24"/>
      <c r="Y174" s="22">
        <f t="shared" si="31"/>
        <v>248000</v>
      </c>
      <c r="Z174" s="67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2455.85+748029.6+486704.4+10141.11</f>
        <v>1247330.9600000002</v>
      </c>
      <c r="I175" s="43">
        <f>H175/G175*100</f>
        <v>37.79790787878788</v>
      </c>
      <c r="J175" s="69">
        <f t="shared" si="27"/>
        <v>89.7360402877698</v>
      </c>
      <c r="L175" s="64">
        <f t="shared" si="28"/>
        <v>-142669.0399999998</v>
      </c>
      <c r="M175" s="24"/>
      <c r="N175" s="24"/>
      <c r="O175" s="24">
        <f>2500</f>
        <v>2500</v>
      </c>
      <c r="P175" s="24"/>
      <c r="Q175" s="24">
        <f>1000000-200000</f>
        <v>800000</v>
      </c>
      <c r="R175" s="24"/>
      <c r="S175" s="24"/>
      <c r="T175" s="24">
        <f>2300000-2500+200000</f>
        <v>2497500</v>
      </c>
      <c r="U175" s="24">
        <f>-2400000+490000</f>
        <v>-1910000</v>
      </c>
      <c r="V175" s="24">
        <f>2400000-490000</f>
        <v>1910000</v>
      </c>
      <c r="W175" s="24"/>
      <c r="X175" s="24"/>
      <c r="Y175" s="22">
        <f t="shared" si="31"/>
        <v>3300000</v>
      </c>
      <c r="Z175" s="67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69">
        <f t="shared" si="27"/>
        <v>59.68302072917467</v>
      </c>
      <c r="L176" s="64">
        <f t="shared" si="28"/>
        <v>-4193288.380000001</v>
      </c>
      <c r="M176" s="24"/>
      <c r="N176" s="24"/>
      <c r="O176" s="24"/>
      <c r="P176" s="24">
        <f>3300000-1460000-1710000</f>
        <v>130000</v>
      </c>
      <c r="Q176" s="24">
        <f>1329200-1400000</f>
        <v>-70800</v>
      </c>
      <c r="R176" s="24">
        <f>2379528.46-2300000+86000</f>
        <v>165528.45999999996</v>
      </c>
      <c r="S176" s="24">
        <f>330800+1460000+1710000+2300000-86000</f>
        <v>5714800</v>
      </c>
      <c r="T176" s="24">
        <f>1991271.54+1400000</f>
        <v>3391271.54</v>
      </c>
      <c r="U176" s="24">
        <f>-330000-100000+1500000</f>
        <v>1070000</v>
      </c>
      <c r="V176" s="24">
        <f>2789200+330000+100000-1500000</f>
        <v>1719200</v>
      </c>
      <c r="W176" s="24"/>
      <c r="X176" s="24"/>
      <c r="Y176" s="22">
        <f t="shared" si="31"/>
        <v>12120000</v>
      </c>
      <c r="Z176" s="67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49">
        <f>4351772.44+7541+3400000+581526.71+692783.83-69412.37+51856.29+3809977.2+4948579.2+67593.8+344365.2+51981.49</f>
        <v>18238564.79</v>
      </c>
      <c r="I177" s="43">
        <f>H177/G177*100</f>
        <v>84.83053390697674</v>
      </c>
      <c r="J177" s="69">
        <f t="shared" si="27"/>
        <v>100.04698184311573</v>
      </c>
      <c r="L177" s="64">
        <f t="shared" si="28"/>
        <v>8564.789999999106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7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3875000+140381+44901.72+60713.69+2475000+1796649.46</f>
        <v>8392645.870000001</v>
      </c>
      <c r="I178" s="43">
        <f>H178/G178*100</f>
        <v>64.55881438461539</v>
      </c>
      <c r="J178" s="69">
        <f t="shared" si="27"/>
        <v>126.37623656075894</v>
      </c>
      <c r="L178" s="64">
        <f t="shared" si="28"/>
        <v>1751645.870000001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</f>
        <v>2500000</v>
      </c>
      <c r="V178" s="49"/>
      <c r="W178" s="49">
        <f>2000000-141000+5000000-2500000</f>
        <v>4359000</v>
      </c>
      <c r="X178" s="49">
        <v>2000000</v>
      </c>
      <c r="Y178" s="22">
        <f t="shared" si="31"/>
        <v>13000000</v>
      </c>
      <c r="Z178" s="67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69">
        <f t="shared" si="27"/>
        <v>98.383</v>
      </c>
      <c r="L179" s="64">
        <f t="shared" si="28"/>
        <v>-1617</v>
      </c>
      <c r="M179" s="24"/>
      <c r="N179" s="24"/>
      <c r="O179" s="24"/>
      <c r="P179" s="24"/>
      <c r="Q179" s="24">
        <v>100000</v>
      </c>
      <c r="R179" s="24"/>
      <c r="S179" s="24"/>
      <c r="T179" s="24"/>
      <c r="U179" s="24"/>
      <c r="V179" s="24">
        <v>400000</v>
      </c>
      <c r="W179" s="24"/>
      <c r="X179" s="24">
        <v>500000</v>
      </c>
      <c r="Y179" s="22">
        <f t="shared" si="31"/>
        <v>1000000</v>
      </c>
      <c r="Z179" s="67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69" t="e">
        <f t="shared" si="27"/>
        <v>#DIV/0!</v>
      </c>
      <c r="L180" s="64">
        <f t="shared" si="28"/>
        <v>0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>
        <v>250000</v>
      </c>
      <c r="X180" s="24">
        <v>250000</v>
      </c>
      <c r="Y180" s="22">
        <f t="shared" si="31"/>
        <v>500000</v>
      </c>
      <c r="Z180" s="67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69">
        <f t="shared" si="27"/>
        <v>0</v>
      </c>
      <c r="L181" s="64">
        <f t="shared" si="28"/>
        <v>-100000</v>
      </c>
      <c r="M181" s="24"/>
      <c r="N181" s="24"/>
      <c r="O181" s="24"/>
      <c r="P181" s="24"/>
      <c r="Q181" s="24"/>
      <c r="R181" s="24"/>
      <c r="S181" s="24">
        <f>100000</f>
        <v>100000</v>
      </c>
      <c r="T181" s="24"/>
      <c r="U181" s="24"/>
      <c r="V181" s="24"/>
      <c r="W181" s="24"/>
      <c r="X181" s="24">
        <f>1195000</f>
        <v>1195000</v>
      </c>
      <c r="Y181" s="22">
        <f t="shared" si="31"/>
        <v>1295000</v>
      </c>
      <c r="Z181" s="67">
        <f t="shared" si="32"/>
        <v>0</v>
      </c>
    </row>
    <row r="182" spans="1:26" ht="18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175894242.93</v>
      </c>
      <c r="I182" s="38">
        <f>H182/D182*100</f>
        <v>58.89119961406008</v>
      </c>
      <c r="J182" s="75">
        <f>H182/(N182+O182+P182+Q182+R182+S182+T182+U182)*100</f>
        <v>87.83616152046321</v>
      </c>
      <c r="L182" s="64">
        <f t="shared" si="28"/>
        <v>-29859209.149999976</v>
      </c>
      <c r="M182" s="24">
        <f>M9+M147</f>
        <v>5500800</v>
      </c>
      <c r="N182" s="24">
        <f aca="true" t="shared" si="34" ref="N182:X182">N9+N26+N147</f>
        <v>7474745</v>
      </c>
      <c r="O182" s="24">
        <f t="shared" si="34"/>
        <v>53795455.42</v>
      </c>
      <c r="P182" s="24">
        <f t="shared" si="34"/>
        <v>21619022</v>
      </c>
      <c r="Q182" s="24">
        <f t="shared" si="34"/>
        <v>15812043</v>
      </c>
      <c r="R182" s="24">
        <f t="shared" si="34"/>
        <v>11312906.419999998</v>
      </c>
      <c r="S182" s="24">
        <f t="shared" si="34"/>
        <v>26779125.97</v>
      </c>
      <c r="T182" s="24">
        <f t="shared" si="34"/>
        <v>38469787.04</v>
      </c>
      <c r="U182" s="24">
        <f t="shared" si="34"/>
        <v>24989567.23</v>
      </c>
      <c r="V182" s="24">
        <f t="shared" si="34"/>
        <v>28955132.58</v>
      </c>
      <c r="W182" s="24">
        <f t="shared" si="34"/>
        <v>35727624.79</v>
      </c>
      <c r="X182" s="24">
        <f t="shared" si="34"/>
        <v>28240408.12</v>
      </c>
      <c r="Y182" s="22">
        <f>SUM(M182:X182)</f>
        <v>298676617.57</v>
      </c>
      <c r="Z182" s="67">
        <f>Y182-D182</f>
        <v>0.20999997854232788</v>
      </c>
    </row>
    <row r="183" spans="1:12" ht="18">
      <c r="A183" s="33"/>
      <c r="B183" s="34"/>
      <c r="C183" s="35"/>
      <c r="D183" s="36"/>
      <c r="E183" s="36"/>
      <c r="F183" s="36"/>
      <c r="G183" s="36"/>
      <c r="L183" s="30"/>
    </row>
    <row r="184" spans="1:6" ht="18">
      <c r="A184" s="2"/>
      <c r="B184" s="30"/>
      <c r="C184" s="31"/>
      <c r="D184" s="3"/>
      <c r="E184" s="30"/>
      <c r="F184" s="30"/>
    </row>
  </sheetData>
  <sheetProtection/>
  <mergeCells count="28"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2017-07-07T06:53:01Z</cp:lastPrinted>
  <dcterms:created xsi:type="dcterms:W3CDTF">2014-01-17T10:52:16Z</dcterms:created>
  <dcterms:modified xsi:type="dcterms:W3CDTF">2017-09-29T12:38:44Z</dcterms:modified>
  <cp:category/>
  <cp:version/>
  <cp:contentType/>
  <cp:contentStatus/>
</cp:coreProperties>
</file>